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DieseArbeitsmappe"/>
  <mc:AlternateContent xmlns:mc="http://schemas.openxmlformats.org/markup-compatibility/2006">
    <mc:Choice Requires="x15">
      <x15ac:absPath xmlns:x15ac="http://schemas.microsoft.com/office/spreadsheetml/2010/11/ac" url="C:\DOCUMENTEN ARCHIEF\DOCUMENTEN\Documenten PRIVE\Hans Prive\Voetbal\WK_voetbal_2026\Koolzaad WK 2026\"/>
    </mc:Choice>
  </mc:AlternateContent>
  <xr:revisionPtr revIDLastSave="0" documentId="8_{59569369-CCB9-47B0-B77F-5FB9C16D2DBC}" xr6:coauthVersionLast="47" xr6:coauthVersionMax="47" xr10:uidLastSave="{00000000-0000-0000-0000-000000000000}"/>
  <bookViews>
    <workbookView xWindow="-110" yWindow="-110" windowWidth="38620" windowHeight="21220" tabRatio="637" xr2:uid="{00000000-000D-0000-FFFF-FFFF00000000}"/>
  </bookViews>
  <sheets>
    <sheet name="World Cup" sheetId="33" r:id="rId1"/>
    <sheet name="DailySchedule" sheetId="48" state="hidden" r:id="rId2"/>
    <sheet name="FairPlay" sheetId="3" state="hidden" r:id="rId3"/>
    <sheet name="HeadToHeadComp" sheetId="73" state="hidden" r:id="rId4"/>
    <sheet name="Predictions" sheetId="28" r:id="rId5"/>
    <sheet name="Predictions_Ranking_1" sheetId="29" state="hidden" r:id="rId6"/>
    <sheet name="Predictions_2" sheetId="47" state="hidden" r:id="rId7"/>
    <sheet name="Predictions_Ranking_2" sheetId="32" state="hidden" r:id="rId8"/>
    <sheet name="PrSettings" sheetId="30" state="hidden" r:id="rId9"/>
    <sheet name="Language" sheetId="18" state="hidden" r:id="rId10"/>
    <sheet name="TimeZone" sheetId="19" state="hidden" r:id="rId11"/>
    <sheet name="Help" sheetId="17" state="hidden"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B46" i="48" l="1"/>
  <c r="C46" i="48"/>
  <c r="C45" i="48"/>
  <c r="B45" i="48"/>
  <c r="B55" i="48"/>
  <c r="C55" i="48"/>
  <c r="C86" i="48"/>
  <c r="B86" i="48"/>
  <c r="B87" i="48"/>
  <c r="C87" i="48"/>
  <c r="B61" i="48"/>
  <c r="C61" i="48"/>
  <c r="B56" i="48"/>
  <c r="C56" i="48"/>
  <c r="B41" i="48"/>
  <c r="C41" i="48"/>
  <c r="B50" i="48"/>
  <c r="C50" i="48"/>
  <c r="C23" i="48"/>
  <c r="B23" i="48"/>
  <c r="B30" i="48"/>
  <c r="C30" i="48"/>
  <c r="B51" i="48"/>
  <c r="C51" i="48"/>
  <c r="C60" i="48"/>
  <c r="B60" i="48"/>
  <c r="B10" i="48"/>
  <c r="C10" i="48"/>
  <c r="C40" i="48"/>
  <c r="B40" i="48"/>
  <c r="C3" i="18"/>
  <c r="C4" i="18"/>
  <c r="E72" i="18" s="1"/>
  <c r="C5" i="18"/>
  <c r="C6" i="18"/>
  <c r="C7" i="18"/>
  <c r="AU5" i="67" a="1"/>
  <c r="AV5" i="67" a="1"/>
  <c r="AU5" i="68" a="1"/>
  <c r="AV5" i="68" a="1"/>
  <c r="AU5" i="66" a="1"/>
  <c r="AV5" i="66" a="1"/>
  <c r="AU5" i="69" a="1"/>
  <c r="AV5" i="69" a="1"/>
  <c r="AU5" i="65" a="1"/>
  <c r="AV5" i="65" a="1"/>
  <c r="AU5" i="64" a="1"/>
  <c r="AV5" i="64" a="1"/>
  <c r="AU5" i="71" a="1"/>
  <c r="AV5" i="71" a="1"/>
  <c r="AU5" i="72" a="1"/>
  <c r="AV5" i="72" a="1"/>
  <c r="AU5" i="63" a="1"/>
  <c r="AV5" i="63" a="1"/>
  <c r="AU5" i="62" a="1"/>
  <c r="AV5" i="62" a="1"/>
  <c r="AU5" i="61" a="1"/>
  <c r="AV5" i="61" a="1"/>
  <c r="AV5" i="70" a="1"/>
  <c r="AU5" i="70" a="1"/>
  <c r="C8" i="18"/>
  <c r="E4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E133" i="18"/>
  <c r="E138" i="18"/>
  <c r="Z3" i="73" s="1"/>
  <c r="G5" i="73"/>
  <c r="G78" i="47"/>
  <c r="F71" i="47"/>
  <c r="F69" i="47"/>
  <c r="S27" i="61"/>
  <c r="R27" i="61"/>
  <c r="F11" i="47" s="1"/>
  <c r="S26" i="61"/>
  <c r="G10" i="47" s="1"/>
  <c r="R26" i="61"/>
  <c r="F10" i="47" s="1"/>
  <c r="S25" i="61"/>
  <c r="R25" i="61"/>
  <c r="S24" i="61"/>
  <c r="R24" i="61"/>
  <c r="F8" i="47" s="1"/>
  <c r="S23" i="61"/>
  <c r="G7" i="47" s="1"/>
  <c r="R23" i="61"/>
  <c r="S22" i="61"/>
  <c r="G6" i="47" s="1"/>
  <c r="R22" i="61"/>
  <c r="F6" i="47" s="1"/>
  <c r="F80" i="28"/>
  <c r="F69"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B75" i="48"/>
  <c r="C130" i="48"/>
  <c r="E178" i="18"/>
  <c r="E233" i="18"/>
  <c r="E262" i="18"/>
  <c r="M3" i="48" s="1"/>
  <c r="E183" i="18"/>
  <c r="E149" i="18"/>
  <c r="E243" i="18"/>
  <c r="H8" i="30" s="1"/>
  <c r="E219" i="18"/>
  <c r="E207" i="18"/>
  <c r="E175" i="18"/>
  <c r="B52" i="33" s="1"/>
  <c r="E247" i="18"/>
  <c r="E160" i="18"/>
  <c r="E189" i="18"/>
  <c r="E143" i="18"/>
  <c r="E128" i="18"/>
  <c r="C2" i="44" s="1"/>
  <c r="E124" i="18"/>
  <c r="A1" i="19" s="1"/>
  <c r="E172" i="18"/>
  <c r="E215" i="18"/>
  <c r="B106" i="28" s="1"/>
  <c r="E110" i="18"/>
  <c r="H104" i="22" s="1"/>
  <c r="I132" i="48" s="1"/>
  <c r="E222" i="18"/>
  <c r="B3" i="30" s="1"/>
  <c r="E230" i="18"/>
  <c r="E235" i="18"/>
  <c r="B9" i="30" s="1"/>
  <c r="E209" i="18"/>
  <c r="M4" i="28" s="1"/>
  <c r="E259" i="18"/>
  <c r="B137" i="48" s="1"/>
  <c r="E146" i="18"/>
  <c r="E151" i="18"/>
  <c r="E205" i="18"/>
  <c r="B3" i="47" s="1"/>
  <c r="E113" i="18"/>
  <c r="E171" i="18"/>
  <c r="K109" i="22" s="1"/>
  <c r="R77" i="33" s="1"/>
  <c r="E196" i="18"/>
  <c r="L1" i="18" s="1"/>
  <c r="E206" i="18"/>
  <c r="F4" i="28" s="1"/>
  <c r="E180" i="18"/>
  <c r="AL31" i="33" s="1"/>
  <c r="E156" i="18"/>
  <c r="E154" i="18"/>
  <c r="E191" i="18"/>
  <c r="E245" i="18"/>
  <c r="E227" i="18"/>
  <c r="B7" i="30" s="1"/>
  <c r="E135" i="18"/>
  <c r="D3" i="29" s="1"/>
  <c r="E256" i="18"/>
  <c r="B93" i="48" s="1"/>
  <c r="E232" i="18"/>
  <c r="B139" i="47" s="1"/>
  <c r="E141" i="18"/>
  <c r="R96" i="33" s="1"/>
  <c r="E228" i="18"/>
  <c r="B6" i="30" s="1"/>
  <c r="E163" i="18"/>
  <c r="E261" i="18"/>
  <c r="M2" i="48" s="1"/>
  <c r="E241" i="18"/>
  <c r="H20" i="30" s="1"/>
  <c r="E126" i="18"/>
  <c r="F1" i="18" s="1"/>
  <c r="E225" i="18"/>
  <c r="B4" i="30" s="1"/>
  <c r="E257" i="18"/>
  <c r="B116" i="48" s="1"/>
  <c r="E214" i="18"/>
  <c r="B89" i="28" s="1"/>
  <c r="I89" i="28" s="1"/>
  <c r="E161" i="18"/>
  <c r="E181" i="18"/>
  <c r="AN31" i="33" s="1"/>
  <c r="E142" i="18"/>
  <c r="E105" i="18"/>
  <c r="H44" i="22" s="1"/>
  <c r="E195" i="18"/>
  <c r="E167" i="18"/>
  <c r="E242" i="18"/>
  <c r="H14" i="30" s="1"/>
  <c r="E208" i="18"/>
  <c r="EL130" i="47" s="1"/>
  <c r="E121" i="18"/>
  <c r="E1" i="33" s="1"/>
  <c r="E114" i="18"/>
  <c r="E106" i="18"/>
  <c r="E155" i="18"/>
  <c r="E239" i="18"/>
  <c r="H6" i="30" s="1"/>
  <c r="E246" i="18"/>
  <c r="E226" i="18"/>
  <c r="B5" i="30" s="1"/>
  <c r="E158" i="18"/>
  <c r="E127" i="18"/>
  <c r="B1" i="29" s="1"/>
  <c r="E253" i="18"/>
  <c r="C3" i="48" s="1"/>
  <c r="E240" i="18"/>
  <c r="H7" i="30" s="1"/>
  <c r="E185" i="18"/>
  <c r="I3" i="48" s="1"/>
  <c r="E187" i="18"/>
  <c r="E258" i="18"/>
  <c r="B129" i="48" s="1"/>
  <c r="E157" i="18"/>
  <c r="E145" i="18"/>
  <c r="E166" i="18"/>
  <c r="E159" i="18"/>
  <c r="E223" i="18"/>
  <c r="H3" i="30" s="1"/>
  <c r="E164" i="18"/>
  <c r="E115" i="18"/>
  <c r="E170" i="18"/>
  <c r="K108" i="22" s="1"/>
  <c r="F77" i="33" s="1"/>
  <c r="E255" i="18"/>
  <c r="E3" i="48" s="1"/>
  <c r="E182" i="18"/>
  <c r="AL44" i="33" s="1"/>
  <c r="E147" i="18"/>
  <c r="E152" i="18"/>
  <c r="E224" i="18"/>
  <c r="EF127" i="47" s="1"/>
  <c r="E168" i="18"/>
  <c r="E165" i="18"/>
  <c r="G81" i="29"/>
  <c r="J82" i="32"/>
  <c r="G82" i="32" s="1"/>
  <c r="G34" i="32"/>
  <c r="DS4" i="47"/>
  <c r="KS127" i="47"/>
  <c r="MF127" i="47"/>
  <c r="S4" i="28"/>
  <c r="C1" i="45"/>
  <c r="H85" i="22"/>
  <c r="H47" i="22"/>
  <c r="KM4" i="47"/>
  <c r="HZ4" i="47"/>
  <c r="DM4" i="47"/>
  <c r="BM4" i="47"/>
  <c r="B1" i="32"/>
  <c r="H78" i="22"/>
  <c r="IB127" i="47"/>
  <c r="GO4" i="47"/>
  <c r="AB127" i="47"/>
  <c r="FO127" i="47"/>
  <c r="EB4" i="47"/>
  <c r="BB127" i="47"/>
  <c r="LB4" i="47"/>
  <c r="EO127" i="47"/>
  <c r="O129" i="28"/>
  <c r="T62" i="33"/>
  <c r="Y129" i="47"/>
  <c r="HL129" i="47"/>
  <c r="LL129" i="47"/>
  <c r="JL129" i="47"/>
  <c r="H40" i="22"/>
  <c r="I52" i="48" s="1"/>
  <c r="H16" i="22"/>
  <c r="H111" i="22"/>
  <c r="L86" i="33" s="1"/>
  <c r="KL130" i="47"/>
  <c r="JY130" i="47"/>
  <c r="HY130" i="47"/>
  <c r="IY130" i="47"/>
  <c r="GY130" i="47"/>
  <c r="H81" i="22"/>
  <c r="H10" i="22"/>
  <c r="H11" i="33" s="1"/>
  <c r="H20" i="22"/>
  <c r="I25" i="48" s="1"/>
  <c r="L130" i="28"/>
  <c r="EL128" i="47"/>
  <c r="AL128" i="47"/>
  <c r="LY128" i="47"/>
  <c r="HY128" i="47"/>
  <c r="Y128" i="47"/>
  <c r="LL128" i="47"/>
  <c r="HL128" i="47"/>
  <c r="DL128" i="47"/>
  <c r="GY128" i="47"/>
  <c r="CY128" i="47"/>
  <c r="KL128" i="47"/>
  <c r="GL128" i="47"/>
  <c r="FY128" i="47"/>
  <c r="BY128" i="47"/>
  <c r="JL128" i="47"/>
  <c r="FL128" i="47"/>
  <c r="BL128" i="47"/>
  <c r="IY128" i="47"/>
  <c r="EY128" i="47"/>
  <c r="AY128" i="47"/>
  <c r="B106" i="47"/>
  <c r="JV106" i="47" s="1"/>
  <c r="O128" i="28"/>
  <c r="W16" i="33"/>
  <c r="I58" i="48"/>
  <c r="I143" i="48"/>
  <c r="I22" i="48"/>
  <c r="AC26" i="33"/>
  <c r="BV106" i="47"/>
  <c r="V106" i="47"/>
  <c r="I106" i="47"/>
  <c r="JI106" i="47"/>
  <c r="IV106" i="47"/>
  <c r="EV106" i="47"/>
  <c r="II106" i="47"/>
  <c r="LV106" i="47"/>
  <c r="BI106" i="47"/>
  <c r="LI106" i="47"/>
  <c r="HI106" i="47"/>
  <c r="KV106" i="47"/>
  <c r="KI106" i="47"/>
  <c r="GI106" i="47"/>
  <c r="W2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I106" i="28" l="1"/>
  <c r="Z26" i="33"/>
  <c r="I57" i="48"/>
  <c r="AC93" i="73"/>
  <c r="AN45" i="73"/>
  <c r="R37" i="73"/>
  <c r="G29" i="73"/>
  <c r="AC61" i="73"/>
  <c r="AC45" i="73"/>
  <c r="AN21" i="73"/>
  <c r="AN69" i="73"/>
  <c r="R45" i="73"/>
  <c r="G37" i="73"/>
  <c r="AN13" i="73"/>
  <c r="AN5" i="73"/>
  <c r="AC85" i="73"/>
  <c r="AC69" i="73"/>
  <c r="AN53" i="73"/>
  <c r="G45" i="73"/>
  <c r="AC21" i="73"/>
  <c r="AC13" i="73"/>
  <c r="AC5" i="73"/>
  <c r="AC53" i="73"/>
  <c r="AN37" i="73"/>
  <c r="R13" i="73"/>
  <c r="G85" i="73"/>
  <c r="R69" i="73"/>
  <c r="R53" i="73"/>
  <c r="AN29" i="73"/>
  <c r="R21" i="73"/>
  <c r="G13" i="73"/>
  <c r="R5" i="73"/>
  <c r="AN77" i="73"/>
  <c r="G69" i="73"/>
  <c r="AC37" i="73"/>
  <c r="AC29" i="73"/>
  <c r="H22" i="22"/>
  <c r="H61" i="22"/>
  <c r="D3" i="32"/>
  <c r="CV106" i="47"/>
  <c r="DV106" i="47"/>
  <c r="AI106" i="47"/>
  <c r="H70" i="22"/>
  <c r="I86" i="48" s="1"/>
  <c r="B89" i="47"/>
  <c r="H72" i="22"/>
  <c r="AC31" i="33" s="1"/>
  <c r="IM4" i="47"/>
  <c r="KY128" i="47"/>
  <c r="CL128" i="47"/>
  <c r="IL128" i="47"/>
  <c r="DY128" i="47"/>
  <c r="L128" i="47"/>
  <c r="JY128" i="47"/>
  <c r="H34" i="22"/>
  <c r="H23" i="22"/>
  <c r="G21" i="73"/>
  <c r="GV106" i="47"/>
  <c r="HV106" i="47"/>
  <c r="FI106" i="47"/>
  <c r="H37" i="22"/>
  <c r="R29" i="73"/>
  <c r="J5" i="44"/>
  <c r="K5" i="44"/>
  <c r="H91" i="22"/>
  <c r="AR52" i="33"/>
  <c r="F82" i="33"/>
  <c r="E52" i="33"/>
  <c r="L100" i="33"/>
  <c r="CI106" i="47"/>
  <c r="AV106" i="47"/>
  <c r="FV106" i="47"/>
  <c r="N62" i="33"/>
  <c r="IF4" i="47"/>
  <c r="H52" i="22"/>
  <c r="H31" i="33" s="1"/>
  <c r="H105" i="22"/>
  <c r="I134" i="48" s="1"/>
  <c r="H74" i="22"/>
  <c r="CL129" i="47"/>
  <c r="AY129" i="47"/>
  <c r="DL129" i="47"/>
  <c r="G53" i="73"/>
  <c r="DI106" i="47"/>
  <c r="EI106" i="47"/>
  <c r="W52" i="33"/>
  <c r="H7" i="22"/>
  <c r="MB127" i="47"/>
  <c r="MB4" i="47"/>
  <c r="DB4" i="47"/>
  <c r="AB4" i="47"/>
  <c r="JB127" i="47"/>
  <c r="HO4" i="47"/>
  <c r="AN61" i="73"/>
  <c r="B133" i="47"/>
  <c r="Q62" i="33"/>
  <c r="HS4" i="47"/>
  <c r="ES4" i="47"/>
  <c r="EF4" i="47"/>
  <c r="H59" i="22"/>
  <c r="N36" i="33" s="1"/>
  <c r="H113" i="22"/>
  <c r="H96" i="22"/>
  <c r="I120" i="48" s="1"/>
  <c r="FZ4" i="47"/>
  <c r="AC77" i="73"/>
  <c r="HL130" i="47"/>
  <c r="E192" i="18"/>
  <c r="E112" i="18"/>
  <c r="E117" i="18"/>
  <c r="H5" i="22" s="1"/>
  <c r="E148" i="18"/>
  <c r="E134" i="18"/>
  <c r="E176" i="18"/>
  <c r="E107" i="18"/>
  <c r="E252" i="18"/>
  <c r="G3" i="48" s="1"/>
  <c r="E125" i="18"/>
  <c r="B1" i="22" s="1"/>
  <c r="E194" i="18"/>
  <c r="G1" i="19" s="1"/>
  <c r="E104" i="18"/>
  <c r="E254" i="18"/>
  <c r="D3" i="48" s="1"/>
  <c r="E244" i="18"/>
  <c r="B136" i="47" s="1"/>
  <c r="E204" i="18"/>
  <c r="E109" i="18"/>
  <c r="E260" i="18"/>
  <c r="B3" i="48" s="1"/>
  <c r="E169" i="18"/>
  <c r="E263" i="18"/>
  <c r="E139" i="18"/>
  <c r="AK3" i="73" s="1"/>
  <c r="E123" i="18"/>
  <c r="E40" i="18"/>
  <c r="E28" i="18"/>
  <c r="D54" i="26" s="1"/>
  <c r="I23" i="22" s="1"/>
  <c r="AC18" i="33" s="1"/>
  <c r="P23" i="66" s="1"/>
  <c r="C70" i="47" s="1"/>
  <c r="LL130" i="47"/>
  <c r="E136" i="18"/>
  <c r="E238" i="18"/>
  <c r="E116" i="18"/>
  <c r="E190" i="18"/>
  <c r="J5" i="16" s="1"/>
  <c r="E153" i="18"/>
  <c r="E218" i="18"/>
  <c r="E216" i="18"/>
  <c r="E210" i="18"/>
  <c r="E217" i="18"/>
  <c r="B120" i="28" s="1"/>
  <c r="E211" i="18"/>
  <c r="E162" i="18"/>
  <c r="E234" i="18"/>
  <c r="E193" i="18"/>
  <c r="B3" i="3" s="1"/>
  <c r="E236" i="18"/>
  <c r="H4" i="30" s="1"/>
  <c r="E201" i="18"/>
  <c r="E118" i="18"/>
  <c r="E111" i="18"/>
  <c r="H94" i="22" s="1"/>
  <c r="I118" i="48" s="1"/>
  <c r="E10" i="18"/>
  <c r="E8" i="18"/>
  <c r="D62" i="26" s="1"/>
  <c r="D5" i="67" s="1"/>
  <c r="E130" i="18"/>
  <c r="E200" i="18"/>
  <c r="E103" i="18"/>
  <c r="E179" i="18"/>
  <c r="E198" i="18"/>
  <c r="G4" i="19" s="1"/>
  <c r="E184" i="18"/>
  <c r="J3" i="48" s="1"/>
  <c r="E108" i="18"/>
  <c r="E144" i="18"/>
  <c r="E250" i="18"/>
  <c r="B1" i="48" s="1"/>
  <c r="E237" i="18"/>
  <c r="O4" i="30" s="1"/>
  <c r="E251" i="18"/>
  <c r="F3" i="48" s="1"/>
  <c r="E220" i="18"/>
  <c r="B127" i="28" s="1"/>
  <c r="E150" i="18"/>
  <c r="E212" i="18"/>
  <c r="E231" i="18"/>
  <c r="E177" i="18"/>
  <c r="C5" i="44" s="1"/>
  <c r="E229" i="18"/>
  <c r="B8" i="30" s="1"/>
  <c r="E221" i="18"/>
  <c r="H12" i="30" s="1"/>
  <c r="E213" i="18"/>
  <c r="E173" i="18"/>
  <c r="E174" i="18"/>
  <c r="E199" i="18"/>
  <c r="D99" i="73" s="1"/>
  <c r="E122" i="18"/>
  <c r="D1" i="73" s="1"/>
  <c r="E140" i="18"/>
  <c r="D3" i="73" s="1"/>
  <c r="E131" i="18"/>
  <c r="E81" i="18"/>
  <c r="E137" i="18"/>
  <c r="O3" i="73" s="1"/>
  <c r="E132" i="18"/>
  <c r="C107" i="28"/>
  <c r="B107" i="28" s="1"/>
  <c r="D118" i="48"/>
  <c r="I8" i="48"/>
  <c r="K11" i="33"/>
  <c r="KZ4" i="47"/>
  <c r="GM4" i="47"/>
  <c r="DZ4" i="47"/>
  <c r="IZ4" i="47"/>
  <c r="EM4" i="47"/>
  <c r="BZ4" i="47"/>
  <c r="Z4" i="47"/>
  <c r="CZ4" i="47"/>
  <c r="LZ4" i="47"/>
  <c r="HM4" i="47"/>
  <c r="AZ4" i="47"/>
  <c r="JZ4" i="47"/>
  <c r="FM4" i="47"/>
  <c r="H42" i="22"/>
  <c r="H88" i="22"/>
  <c r="H77" i="22"/>
  <c r="I94" i="48" s="1"/>
  <c r="H29" i="22"/>
  <c r="EL129" i="47"/>
  <c r="DY129" i="47"/>
  <c r="KY129" i="47"/>
  <c r="L129" i="47"/>
  <c r="BY129" i="47"/>
  <c r="CY129" i="47"/>
  <c r="FL129" i="47"/>
  <c r="BL129" i="47"/>
  <c r="IY129" i="47"/>
  <c r="FY129" i="47"/>
  <c r="AL129" i="47"/>
  <c r="L96" i="33"/>
  <c r="I146" i="48"/>
  <c r="L131" i="28"/>
  <c r="KL129" i="47"/>
  <c r="GY129" i="47"/>
  <c r="Q52" i="33"/>
  <c r="B62" i="33"/>
  <c r="DO4" i="47"/>
  <c r="IB4" i="47"/>
  <c r="KO4" i="47"/>
  <c r="H62" i="22"/>
  <c r="M4" i="47"/>
  <c r="AM4" i="47"/>
  <c r="BC4" i="47"/>
  <c r="LP4" i="47"/>
  <c r="CS127" i="47"/>
  <c r="H49" i="22"/>
  <c r="AI26" i="33" s="1"/>
  <c r="H36" i="22"/>
  <c r="H24" i="22"/>
  <c r="H100" i="22"/>
  <c r="I126" i="48" s="1"/>
  <c r="H109" i="22"/>
  <c r="R78" i="33" s="1"/>
  <c r="H53" i="22"/>
  <c r="H41" i="22"/>
  <c r="IL129" i="47"/>
  <c r="HY129" i="47"/>
  <c r="O72" i="33"/>
  <c r="I72" i="33"/>
  <c r="AO127" i="47"/>
  <c r="FB127" i="47"/>
  <c r="JO127" i="47"/>
  <c r="H18" i="22"/>
  <c r="F4" i="47"/>
  <c r="CM4" i="47"/>
  <c r="CF4" i="47"/>
  <c r="IS127" i="47"/>
  <c r="GP4" i="47"/>
  <c r="JP127" i="47"/>
  <c r="JP4" i="47"/>
  <c r="LC4" i="47"/>
  <c r="AP127" i="47"/>
  <c r="EP4" i="47"/>
  <c r="IC4" i="47"/>
  <c r="JC127" i="47"/>
  <c r="JC4" i="47"/>
  <c r="MC127" i="47"/>
  <c r="AP4" i="47"/>
  <c r="EC4" i="47"/>
  <c r="FC127" i="47"/>
  <c r="FC4" i="47"/>
  <c r="P4" i="28"/>
  <c r="KP4" i="47"/>
  <c r="AC127" i="47"/>
  <c r="CC4" i="47"/>
  <c r="DP4" i="47"/>
  <c r="EP127" i="47"/>
  <c r="P127" i="47"/>
  <c r="H101" i="22"/>
  <c r="I127" i="48" s="1"/>
  <c r="H30" i="22"/>
  <c r="J7" i="44"/>
  <c r="K7" i="44"/>
  <c r="G7" i="44"/>
  <c r="H7" i="44"/>
  <c r="H21" i="22"/>
  <c r="H103" i="22"/>
  <c r="I130" i="48" s="1"/>
  <c r="H48" i="22"/>
  <c r="H8" i="22"/>
  <c r="H16" i="33" s="1"/>
  <c r="GB127" i="47"/>
  <c r="LO127" i="47"/>
  <c r="DO127" i="47"/>
  <c r="HB127" i="47"/>
  <c r="KO127" i="47"/>
  <c r="CO127" i="47"/>
  <c r="EO4" i="47"/>
  <c r="KB4" i="47"/>
  <c r="CB4" i="47"/>
  <c r="FO4" i="47"/>
  <c r="JB4" i="47"/>
  <c r="BB4" i="47"/>
  <c r="B125" i="28"/>
  <c r="B125" i="47"/>
  <c r="O4" i="47"/>
  <c r="KB127" i="47"/>
  <c r="CB127" i="47"/>
  <c r="HO127" i="47"/>
  <c r="LB127" i="47"/>
  <c r="DB127" i="47"/>
  <c r="GO127" i="47"/>
  <c r="O4" i="28"/>
  <c r="IO4" i="47"/>
  <c r="AO4" i="47"/>
  <c r="GB4" i="47"/>
  <c r="JO4" i="47"/>
  <c r="BO4" i="47"/>
  <c r="FB4" i="47"/>
  <c r="O127" i="47"/>
  <c r="EY129" i="47"/>
  <c r="GL129" i="47"/>
  <c r="E7" i="44"/>
  <c r="AF52" i="33"/>
  <c r="N52" i="33"/>
  <c r="HB4" i="47"/>
  <c r="LO4" i="47"/>
  <c r="CO4" i="47"/>
  <c r="I108" i="48"/>
  <c r="H35" i="22"/>
  <c r="H64" i="22"/>
  <c r="JM4" i="47"/>
  <c r="EZ4" i="47"/>
  <c r="JS127" i="47"/>
  <c r="I127" i="28"/>
  <c r="IE4" i="47"/>
  <c r="R4" i="28"/>
  <c r="B132" i="47"/>
  <c r="LY129" i="47"/>
  <c r="JY129" i="47"/>
  <c r="IV89" i="47"/>
  <c r="DV89" i="47"/>
  <c r="CV89" i="47"/>
  <c r="EV89" i="47"/>
  <c r="AV89" i="47"/>
  <c r="KI89" i="47"/>
  <c r="I89" i="47"/>
  <c r="EI89" i="47"/>
  <c r="DI89" i="47"/>
  <c r="JV89" i="47"/>
  <c r="V89" i="47"/>
  <c r="AI89" i="47"/>
  <c r="BI89" i="47"/>
  <c r="FV89" i="47"/>
  <c r="E62" i="33"/>
  <c r="IO127" i="47"/>
  <c r="BO127" i="47"/>
  <c r="EB127" i="47"/>
  <c r="H33" i="22"/>
  <c r="LM4" i="47"/>
  <c r="GZ4" i="47"/>
  <c r="F5" i="44"/>
  <c r="HF127" i="47"/>
  <c r="DF127" i="47"/>
  <c r="KS4" i="47"/>
  <c r="GF4" i="47"/>
  <c r="BF127" i="47"/>
  <c r="GS4" i="47"/>
  <c r="FS127" i="47"/>
  <c r="LS4" i="47"/>
  <c r="ES127" i="47"/>
  <c r="AS4" i="47"/>
  <c r="JF127" i="47"/>
  <c r="DF4" i="47"/>
  <c r="AF127" i="47"/>
  <c r="LY130" i="47"/>
  <c r="CL130" i="47"/>
  <c r="FL130" i="47"/>
  <c r="AL130" i="47"/>
  <c r="KY130" i="47"/>
  <c r="BY130" i="47"/>
  <c r="CY130" i="47"/>
  <c r="Y130" i="47"/>
  <c r="AY130" i="47"/>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M13" i="73"/>
  <c r="AM29" i="73"/>
  <c r="AA61" i="73"/>
  <c r="AA85" i="73"/>
  <c r="AB85" i="73"/>
  <c r="T130" i="28"/>
  <c r="I105" i="48"/>
  <c r="Q13" i="73"/>
  <c r="Q29" i="73"/>
  <c r="Q45" i="73"/>
  <c r="E69" i="73"/>
  <c r="Q93" i="73"/>
  <c r="AM53" i="73"/>
  <c r="AL93" i="73"/>
  <c r="I97" i="48"/>
  <c r="AB13" i="73"/>
  <c r="AB29" i="73"/>
  <c r="AB45" i="73"/>
  <c r="O130" i="28"/>
  <c r="O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HC13" i="47"/>
  <c r="HD13" i="47" s="1"/>
  <c r="F81" i="47"/>
  <c r="G50" i="28"/>
  <c r="F41" i="28"/>
  <c r="G64" i="28"/>
  <c r="G79" i="28"/>
  <c r="F27" i="28"/>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DO128" i="47"/>
  <c r="DO129" i="47" s="1"/>
  <c r="G15" i="28"/>
  <c r="G29" i="28"/>
  <c r="CC80" i="47"/>
  <c r="CD80" i="47" s="1"/>
  <c r="G80" i="28"/>
  <c r="F74" i="28"/>
  <c r="G67" i="47"/>
  <c r="G20" i="28"/>
  <c r="F32" i="47"/>
  <c r="G48" i="28"/>
  <c r="G62" i="28"/>
  <c r="GB128" i="47"/>
  <c r="GB129" i="47" s="1"/>
  <c r="GC80" i="47"/>
  <c r="GF80" i="47" s="1"/>
  <c r="FP80" i="47"/>
  <c r="FR80" i="47" s="1"/>
  <c r="LP48" i="47"/>
  <c r="LR48" i="47" s="1"/>
  <c r="F76" i="28"/>
  <c r="P80" i="47"/>
  <c r="Q80" i="47" s="1"/>
  <c r="F20" i="28"/>
  <c r="F73" i="28"/>
  <c r="G24" i="28"/>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JC62" i="47"/>
  <c r="JD62" i="47" s="1"/>
  <c r="G14" i="28"/>
  <c r="C112" i="47"/>
  <c r="B112" i="47" s="1"/>
  <c r="D121" i="48"/>
  <c r="E109" i="47"/>
  <c r="D109" i="47" s="1"/>
  <c r="E123" i="48"/>
  <c r="G28" i="28"/>
  <c r="G39" i="28"/>
  <c r="C111" i="47"/>
  <c r="B111" i="47" s="1"/>
  <c r="D120" i="48"/>
  <c r="C109" i="28"/>
  <c r="B109" i="28" s="1"/>
  <c r="D123" i="48"/>
  <c r="FC13" i="47"/>
  <c r="FD13" i="47" s="1"/>
  <c r="F35" i="28"/>
  <c r="G13" i="28"/>
  <c r="AI31" i="33"/>
  <c r="HI125" i="47"/>
  <c r="IV125" i="47"/>
  <c r="KI125" i="47"/>
  <c r="CI125" i="47"/>
  <c r="L132" i="28"/>
  <c r="BL130" i="47"/>
  <c r="DY130" i="47"/>
  <c r="GL130" i="47"/>
  <c r="H90" i="22"/>
  <c r="R2" i="33"/>
  <c r="U2" i="33"/>
  <c r="IR4" i="47"/>
  <c r="FR127" i="47"/>
  <c r="H82" i="22"/>
  <c r="I101" i="48" s="1"/>
  <c r="H67" i="22"/>
  <c r="I84" i="48" s="1"/>
  <c r="EG127" i="47"/>
  <c r="KT127" i="47"/>
  <c r="AF4" i="47"/>
  <c r="KF4" i="47"/>
  <c r="IF127" i="47"/>
  <c r="GS127" i="47"/>
  <c r="FF127" i="47"/>
  <c r="GC127" i="47"/>
  <c r="LP127" i="47"/>
  <c r="DP127" i="47"/>
  <c r="HC127" i="47"/>
  <c r="KP127" i="47"/>
  <c r="CP127" i="47"/>
  <c r="KC127" i="47"/>
  <c r="CC127" i="47"/>
  <c r="HP127" i="47"/>
  <c r="LC127" i="47"/>
  <c r="DC127" i="47"/>
  <c r="GP127" i="47"/>
  <c r="H11" i="22"/>
  <c r="I10" i="48" s="1"/>
  <c r="H63" i="22"/>
  <c r="B8" i="48"/>
  <c r="LV125" i="47"/>
  <c r="FI125" i="47"/>
  <c r="BI125" i="47"/>
  <c r="L130" i="47"/>
  <c r="DL130" i="47"/>
  <c r="FY130" i="47"/>
  <c r="IL130" i="47"/>
  <c r="C2" i="33"/>
  <c r="X2" i="33"/>
  <c r="AE4" i="47"/>
  <c r="KE127" i="47"/>
  <c r="GE4" i="47"/>
  <c r="H54" i="22"/>
  <c r="EG4" i="47"/>
  <c r="GT4" i="47"/>
  <c r="BS127" i="47"/>
  <c r="MF4" i="47"/>
  <c r="IS4" i="47"/>
  <c r="HF4" i="47"/>
  <c r="AC11" i="33"/>
  <c r="I90" i="48"/>
  <c r="AI125" i="47"/>
  <c r="JI125" i="47"/>
  <c r="LI125" i="47"/>
  <c r="ER127" i="47"/>
  <c r="Q17" i="33"/>
  <c r="JS4" i="47"/>
  <c r="BS4" i="47"/>
  <c r="FF4" i="47"/>
  <c r="KF127" i="47"/>
  <c r="CF127" i="47"/>
  <c r="HS127" i="47"/>
  <c r="S127" i="47"/>
  <c r="FS4" i="47"/>
  <c r="JF4" i="47"/>
  <c r="BF4" i="47"/>
  <c r="GF127" i="47"/>
  <c r="LS127" i="47"/>
  <c r="DS127" i="47"/>
  <c r="S129" i="28"/>
  <c r="S4" i="47"/>
  <c r="H50" i="22"/>
  <c r="I60" i="48" s="1"/>
  <c r="H13" i="22"/>
  <c r="FQ127" i="47"/>
  <c r="JD127" i="47"/>
  <c r="BD127" i="47"/>
  <c r="JQ127" i="47"/>
  <c r="BQ127" i="47"/>
  <c r="FD127" i="47"/>
  <c r="H17" i="22"/>
  <c r="H75" i="22"/>
  <c r="I89" i="48" s="1"/>
  <c r="I140" i="48"/>
  <c r="DI125" i="47"/>
  <c r="EV125" i="47"/>
  <c r="GV125" i="47"/>
  <c r="FE4" i="47"/>
  <c r="C88" i="48"/>
  <c r="AC32" i="33"/>
  <c r="AI16" i="33"/>
  <c r="HV125" i="47"/>
  <c r="FV125" i="47"/>
  <c r="KV125" i="47"/>
  <c r="EY130" i="47"/>
  <c r="JL130" i="47"/>
  <c r="BE127" i="47"/>
  <c r="H9" i="22"/>
  <c r="I13" i="48" s="1"/>
  <c r="CS4" i="47"/>
  <c r="AS127" i="47"/>
  <c r="LF4" i="47"/>
  <c r="LF127" i="47"/>
  <c r="AF27" i="33"/>
  <c r="B63" i="48"/>
  <c r="K17" i="33"/>
  <c r="B12" i="48"/>
  <c r="C12" i="48"/>
  <c r="C106" i="48"/>
  <c r="B106" i="48"/>
  <c r="II125" i="47"/>
  <c r="BV125" i="47"/>
  <c r="V125" i="47"/>
  <c r="R127" i="47"/>
  <c r="AR4" i="47"/>
  <c r="JE127" i="47"/>
  <c r="H60" i="22"/>
  <c r="H25" i="22"/>
  <c r="I31" i="48" s="1"/>
  <c r="H14" i="22"/>
  <c r="I16" i="48" s="1"/>
  <c r="C63" i="48"/>
  <c r="CV125" i="47"/>
  <c r="EI125" i="47"/>
  <c r="GI125" i="47"/>
  <c r="CE127" i="47"/>
  <c r="JR4" i="47"/>
  <c r="JT4" i="47"/>
  <c r="HG4" i="47"/>
  <c r="IG127" i="47"/>
  <c r="IG4" i="47"/>
  <c r="T4" i="28"/>
  <c r="DG127" i="47"/>
  <c r="CT127" i="47"/>
  <c r="CG127" i="47"/>
  <c r="BT127" i="47"/>
  <c r="D5" i="44"/>
  <c r="G5" i="44"/>
  <c r="C8" i="48"/>
  <c r="H106" i="22"/>
  <c r="I135" i="48" s="1"/>
  <c r="F48" i="28"/>
  <c r="G76" i="47"/>
  <c r="CC76" i="47" s="1"/>
  <c r="I23" i="3"/>
  <c r="C17" i="3"/>
  <c r="Q5" i="73"/>
  <c r="P13" i="73"/>
  <c r="AB21" i="73"/>
  <c r="P29" i="73"/>
  <c r="AB37" i="73"/>
  <c r="P45" i="73"/>
  <c r="E53" i="73"/>
  <c r="AL53" i="73"/>
  <c r="AB61" i="73"/>
  <c r="AA69" i="73"/>
  <c r="Q77" i="73"/>
  <c r="R85" i="73"/>
  <c r="AA93" i="73"/>
  <c r="E79" i="18"/>
  <c r="E46" i="18"/>
  <c r="E7" i="18"/>
  <c r="F62" i="28"/>
  <c r="F34" i="47"/>
  <c r="G52" i="47"/>
  <c r="I11" i="3"/>
  <c r="W22" i="68"/>
  <c r="E70" i="18"/>
  <c r="E38" i="18"/>
  <c r="F18" i="28"/>
  <c r="F23" i="3"/>
  <c r="AB5" i="73"/>
  <c r="AA13" i="73"/>
  <c r="AM21" i="73"/>
  <c r="AA29" i="73"/>
  <c r="AM37" i="73"/>
  <c r="AA45" i="73"/>
  <c r="Q53" i="73"/>
  <c r="E61" i="73"/>
  <c r="AL69" i="73"/>
  <c r="AL77" i="73"/>
  <c r="AM93" i="73"/>
  <c r="E64" i="18"/>
  <c r="D8" i="26" s="1"/>
  <c r="J4" i="22" s="1"/>
  <c r="E31" i="18"/>
  <c r="D24" i="26" s="1"/>
  <c r="I9" i="22" s="1"/>
  <c r="K18" i="33" s="1"/>
  <c r="P23" i="70" s="1"/>
  <c r="F17" i="3"/>
  <c r="E62" i="18"/>
  <c r="E29" i="18"/>
  <c r="G66" i="28"/>
  <c r="B19" i="47"/>
  <c r="F11" i="3"/>
  <c r="F5" i="73"/>
  <c r="AL5" i="73"/>
  <c r="F13" i="73"/>
  <c r="Q21" i="73"/>
  <c r="E29" i="73"/>
  <c r="Q37" i="73"/>
  <c r="E45" i="73"/>
  <c r="AA53" i="73"/>
  <c r="P61" i="73"/>
  <c r="E77" i="73"/>
  <c r="E85" i="73"/>
  <c r="F93" i="73"/>
  <c r="E89" i="18"/>
  <c r="D40" i="26" s="1"/>
  <c r="D8" i="64" s="1"/>
  <c r="E56" i="18"/>
  <c r="D59" i="26" s="1"/>
  <c r="J50" i="22" s="1"/>
  <c r="E60" i="48" s="1"/>
  <c r="E22" i="18"/>
  <c r="DC15" i="47"/>
  <c r="DF15" i="47" s="1"/>
  <c r="AM5" i="73"/>
  <c r="E13" i="73"/>
  <c r="AL13" i="73"/>
  <c r="F29" i="73"/>
  <c r="AL29" i="73"/>
  <c r="F45" i="73"/>
  <c r="AL45" i="73"/>
  <c r="AB53" i="73"/>
  <c r="Q61" i="73"/>
  <c r="P69" i="73"/>
  <c r="F77" i="73"/>
  <c r="P93" i="73"/>
  <c r="E87" i="18"/>
  <c r="D19" i="26" s="1"/>
  <c r="I8" i="22" s="1"/>
  <c r="E54" i="18"/>
  <c r="E19" i="18"/>
  <c r="G22" i="28"/>
  <c r="C23" i="3"/>
  <c r="P31" i="28"/>
  <c r="R31" i="28" s="1"/>
  <c r="P55" i="28"/>
  <c r="S55" i="28" s="1"/>
  <c r="LC13" i="47"/>
  <c r="LD13" i="47" s="1"/>
  <c r="F13" i="28"/>
  <c r="G49" i="28"/>
  <c r="G27" i="47"/>
  <c r="G41" i="47"/>
  <c r="MC41" i="47" s="1"/>
  <c r="G55" i="47"/>
  <c r="FP13" i="47"/>
  <c r="FR13" i="47" s="1"/>
  <c r="AC13" i="47"/>
  <c r="AE13" i="47" s="1"/>
  <c r="F79" i="47"/>
  <c r="AC79" i="47" s="1"/>
  <c r="G77" i="28"/>
  <c r="G31" i="47"/>
  <c r="G60" i="47"/>
  <c r="G21" i="28"/>
  <c r="G46" i="28"/>
  <c r="G35" i="47"/>
  <c r="I120" i="28"/>
  <c r="KO107" i="47"/>
  <c r="HP124" i="47"/>
  <c r="GO108" i="47"/>
  <c r="DC124" i="47"/>
  <c r="Z11" i="33"/>
  <c r="H45" i="22"/>
  <c r="I56" i="48" s="1"/>
  <c r="R4" i="47"/>
  <c r="ER4" i="47"/>
  <c r="AR127" i="47"/>
  <c r="IR127" i="47"/>
  <c r="FE127" i="47"/>
  <c r="BR127" i="47"/>
  <c r="JR127" i="47"/>
  <c r="B3" i="28"/>
  <c r="M4" i="19" a="1"/>
  <c r="B130" i="48"/>
  <c r="CO107" i="47"/>
  <c r="JC126" i="47"/>
  <c r="EP124" i="47"/>
  <c r="B120" i="47"/>
  <c r="H12" i="22"/>
  <c r="GE127" i="47"/>
  <c r="BE4" i="47"/>
  <c r="JE4" i="47"/>
  <c r="FR4" i="47"/>
  <c r="CE4" i="47"/>
  <c r="KE4" i="47"/>
  <c r="T17" i="33"/>
  <c r="C21" i="48"/>
  <c r="C121" i="48"/>
  <c r="CP126" i="47"/>
  <c r="JC124" i="47"/>
  <c r="EO107" i="47"/>
  <c r="H58" i="22"/>
  <c r="I72" i="48" s="1"/>
  <c r="B1" i="30"/>
  <c r="GR4" i="47"/>
  <c r="CR127" i="47"/>
  <c r="KR127" i="47"/>
  <c r="HE127" i="47"/>
  <c r="DR127" i="47"/>
  <c r="LR127" i="47"/>
  <c r="B96" i="48"/>
  <c r="H71" i="22"/>
  <c r="I87" i="48" s="1"/>
  <c r="AE127" i="47"/>
  <c r="IE127" i="47"/>
  <c r="DE4" i="47"/>
  <c r="LE4" i="47"/>
  <c r="HR4" i="47"/>
  <c r="EE4" i="47"/>
  <c r="ME4" i="47"/>
  <c r="B142" i="48"/>
  <c r="K111" i="22"/>
  <c r="L85" i="33" s="1"/>
  <c r="AC17" i="33"/>
  <c r="C28" i="48"/>
  <c r="AF17" i="33"/>
  <c r="B32" i="48"/>
  <c r="E32" i="33"/>
  <c r="B67" i="48"/>
  <c r="B58" i="48"/>
  <c r="C101" i="48"/>
  <c r="B101" i="48"/>
  <c r="C118" i="48"/>
  <c r="B118" i="48"/>
  <c r="C53" i="48"/>
  <c r="B53" i="48"/>
  <c r="Z22" i="33"/>
  <c r="EF97" i="47"/>
  <c r="KP126" i="47"/>
  <c r="HP126" i="47"/>
  <c r="GO107" i="47"/>
  <c r="DB108" i="47"/>
  <c r="I65" i="48"/>
  <c r="H32" i="22"/>
  <c r="I42" i="48" s="1"/>
  <c r="CR4" i="47"/>
  <c r="KR4" i="47"/>
  <c r="GR127" i="47"/>
  <c r="DE127" i="47"/>
  <c r="LE127" i="47"/>
  <c r="HR127" i="47"/>
  <c r="C57" i="48"/>
  <c r="FT4" i="47"/>
  <c r="JG4" i="47"/>
  <c r="BG4" i="47"/>
  <c r="GG127" i="47"/>
  <c r="LT127" i="47"/>
  <c r="DT127" i="47"/>
  <c r="FG127" i="47"/>
  <c r="IT127" i="47"/>
  <c r="AT127" i="47"/>
  <c r="ET4" i="47"/>
  <c r="KG4" i="47"/>
  <c r="CG4" i="47"/>
  <c r="T127" i="47"/>
  <c r="JG127" i="47"/>
  <c r="BG127" i="47"/>
  <c r="ET127" i="47"/>
  <c r="IT4" i="47"/>
  <c r="AT4" i="47"/>
  <c r="GG4" i="47"/>
  <c r="R129" i="28"/>
  <c r="EE127" i="47"/>
  <c r="ME127" i="47"/>
  <c r="HE4" i="47"/>
  <c r="DR4" i="47"/>
  <c r="LR4" i="47"/>
  <c r="B57" i="48"/>
  <c r="I5" i="44"/>
  <c r="E5" i="44"/>
  <c r="H5" i="44"/>
  <c r="B12" i="47"/>
  <c r="JV19" i="47"/>
  <c r="BI19" i="47"/>
  <c r="CI19" i="47"/>
  <c r="GV19" i="47"/>
  <c r="AV19" i="47"/>
  <c r="KI19" i="47"/>
  <c r="B40" i="47"/>
  <c r="BI40" i="47" s="1"/>
  <c r="B33" i="28"/>
  <c r="F46" i="47"/>
  <c r="MC46" i="47" s="1"/>
  <c r="DI19" i="47"/>
  <c r="B47" i="47"/>
  <c r="H17" i="3"/>
  <c r="AV85" i="73"/>
  <c r="AV21" i="73"/>
  <c r="AV77" i="73"/>
  <c r="AV13" i="73"/>
  <c r="AV69" i="73"/>
  <c r="AV5" i="73"/>
  <c r="AV61" i="73"/>
  <c r="AV53" i="73"/>
  <c r="AV45" i="73"/>
  <c r="AV93" i="73"/>
  <c r="AV29" i="73"/>
  <c r="B40" i="28"/>
  <c r="B68" i="28"/>
  <c r="DP48" i="47"/>
  <c r="DR48" i="47" s="1"/>
  <c r="LP72" i="47"/>
  <c r="LR72" i="47" s="1"/>
  <c r="IC80" i="47"/>
  <c r="IF80" i="47" s="1"/>
  <c r="AI19" i="47"/>
  <c r="EI19" i="47"/>
  <c r="LI19" i="47"/>
  <c r="B11" i="3"/>
  <c r="E11" i="3"/>
  <c r="B61" i="47"/>
  <c r="B17" i="3"/>
  <c r="E17" i="3"/>
  <c r="H11" i="3"/>
  <c r="B75" i="47"/>
  <c r="B23" i="3"/>
  <c r="E23" i="3"/>
  <c r="H23" i="3"/>
  <c r="B68" i="47"/>
  <c r="B26" i="47"/>
  <c r="V19" i="47"/>
  <c r="B5" i="47"/>
  <c r="J46" i="22"/>
  <c r="E55" i="48" s="1"/>
  <c r="J72" i="22"/>
  <c r="D7" i="66"/>
  <c r="H14" i="3"/>
  <c r="AM45" i="73"/>
  <c r="G61" i="73"/>
  <c r="AM61" i="73"/>
  <c r="G77" i="73"/>
  <c r="AM77" i="73"/>
  <c r="G93" i="73"/>
  <c r="E88" i="18"/>
  <c r="E80" i="18"/>
  <c r="E71" i="18"/>
  <c r="E63" i="18"/>
  <c r="E55" i="18"/>
  <c r="E47" i="18"/>
  <c r="E39" i="18"/>
  <c r="E30" i="18"/>
  <c r="E20" i="18"/>
  <c r="D7" i="26" s="1"/>
  <c r="I31" i="22" s="1"/>
  <c r="B28" i="33" s="1"/>
  <c r="P25" i="61"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D50" i="26" s="1"/>
  <c r="J21" i="22" s="1"/>
  <c r="E26" i="18"/>
  <c r="D9" i="26" s="1"/>
  <c r="J31" i="22" s="1"/>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D20" i="26" s="1"/>
  <c r="B21" i="3" s="1"/>
  <c r="E33" i="18"/>
  <c r="E24" i="18"/>
  <c r="E15" i="18"/>
  <c r="D63" i="26" s="1"/>
  <c r="D6" i="67" s="1"/>
  <c r="D15" i="67" s="1"/>
  <c r="E76" i="18"/>
  <c r="D64" i="26" s="1"/>
  <c r="I24" i="22" s="1"/>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D49" i="26" s="1"/>
  <c r="J45" i="22" s="1"/>
  <c r="E56" i="48" s="1"/>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G42" i="47"/>
  <c r="G44" i="47"/>
  <c r="KP44" i="47" s="1"/>
  <c r="G44" i="28"/>
  <c r="F53" i="47"/>
  <c r="HC53" i="47" s="1"/>
  <c r="F53" i="28"/>
  <c r="G51" i="28"/>
  <c r="G51" i="47"/>
  <c r="G56" i="47"/>
  <c r="G56" i="28"/>
  <c r="G63" i="28"/>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Q93" i="47"/>
  <c r="R93" i="47" s="1"/>
  <c r="HS100" i="47"/>
  <c r="F86" i="28"/>
  <c r="DQ97" i="47"/>
  <c r="DR97" i="47" s="1"/>
  <c r="G18" i="28"/>
  <c r="G18" i="47"/>
  <c r="JP18" i="47" s="1"/>
  <c r="P60" i="28"/>
  <c r="P67" i="28"/>
  <c r="HQ101" i="47"/>
  <c r="HR101" i="47" s="1"/>
  <c r="Q95" i="47"/>
  <c r="R95" i="47" s="1"/>
  <c r="DF95" i="47"/>
  <c r="HS105" i="47"/>
  <c r="HQ105" i="47"/>
  <c r="HR105" i="47" s="1"/>
  <c r="KS103" i="47"/>
  <c r="KQ103" i="47"/>
  <c r="KR103" i="47" s="1"/>
  <c r="HQ93" i="47"/>
  <c r="HR93" i="47" s="1"/>
  <c r="LQ91" i="47"/>
  <c r="LR91" i="47" s="1"/>
  <c r="LQ93" i="47"/>
  <c r="LR93" i="47" s="1"/>
  <c r="AS95" i="47"/>
  <c r="CF97" i="47"/>
  <c r="HE13"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P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GD105" i="47"/>
  <c r="GE105" i="47" s="1"/>
  <c r="Y23" i="61"/>
  <c r="Y27" i="61"/>
  <c r="F16" i="28"/>
  <c r="C70" i="28"/>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V19" i="47"/>
  <c r="CV19" i="47"/>
  <c r="CV68" i="47"/>
  <c r="DV19" i="47"/>
  <c r="FI19" i="47"/>
  <c r="FI61" i="47"/>
  <c r="GI19" i="47"/>
  <c r="II19" i="47"/>
  <c r="IV19" i="47"/>
  <c r="KI5" i="47"/>
  <c r="W27" i="63"/>
  <c r="X22" i="66"/>
  <c r="E116" i="28"/>
  <c r="D116" i="28" s="1"/>
  <c r="LS90" i="47"/>
  <c r="DQ100" i="47"/>
  <c r="DR100" i="47" s="1"/>
  <c r="FQ124" i="47"/>
  <c r="FR124" i="47" s="1"/>
  <c r="DS124" i="47"/>
  <c r="FD92" i="47"/>
  <c r="FE92" i="47" s="1"/>
  <c r="FV19" i="47"/>
  <c r="GV26" i="47"/>
  <c r="GV68" i="47"/>
  <c r="HI19" i="47"/>
  <c r="JI19" i="47"/>
  <c r="JI61" i="47"/>
  <c r="E130" i="48"/>
  <c r="KQ102" i="47"/>
  <c r="KR102" i="47" s="1"/>
  <c r="KD101" i="47"/>
  <c r="KE101" i="47" s="1"/>
  <c r="GS99" i="47"/>
  <c r="II68" i="47"/>
  <c r="LI68" i="47"/>
  <c r="LV19" i="47"/>
  <c r="F87" i="28"/>
  <c r="LF100" i="47"/>
  <c r="CF94" i="47"/>
  <c r="JF93" i="47"/>
  <c r="GQ104" i="47"/>
  <c r="GR104" i="47" s="1"/>
  <c r="B94" i="48"/>
  <c r="Q92" i="47"/>
  <c r="R92" i="47" s="1"/>
  <c r="DD92" i="47"/>
  <c r="DE92" i="47" s="1"/>
  <c r="GD94" i="47"/>
  <c r="GE94" i="47" s="1"/>
  <c r="FI68" i="47"/>
  <c r="FV68" i="47"/>
  <c r="JI68" i="47"/>
  <c r="DQ126" i="47"/>
  <c r="DR126" i="47" s="1"/>
  <c r="W23" i="69"/>
  <c r="F63" i="47"/>
  <c r="W22" i="65"/>
  <c r="F55" i="47"/>
  <c r="X26" i="67"/>
  <c r="D127" i="48"/>
  <c r="KO128" i="47"/>
  <c r="KO129" i="47" s="1"/>
  <c r="C108" i="28"/>
  <c r="B108" i="28" s="1"/>
  <c r="E109" i="28"/>
  <c r="D109" i="28" s="1"/>
  <c r="IS101" i="47"/>
  <c r="BS90" i="47"/>
  <c r="LD102" i="47"/>
  <c r="LE102" i="47" s="1"/>
  <c r="EF91" i="47"/>
  <c r="DQ103" i="47"/>
  <c r="DR103" i="47" s="1"/>
  <c r="HF92" i="47"/>
  <c r="W24" i="67"/>
  <c r="G83" i="28"/>
  <c r="KS126" i="47"/>
  <c r="CF93" i="47"/>
  <c r="IS102" i="47"/>
  <c r="KS100" i="47"/>
  <c r="Q37" i="33"/>
  <c r="GS105" i="47"/>
  <c r="CQ105" i="47"/>
  <c r="CR105" i="47" s="1"/>
  <c r="GS96" i="47"/>
  <c r="ES126" i="47"/>
  <c r="LQ126" i="47"/>
  <c r="LR126" i="47" s="1"/>
  <c r="L87" i="33"/>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EI47" i="47"/>
  <c r="X27" i="71"/>
  <c r="Y24" i="65"/>
  <c r="DV47" i="47"/>
  <c r="X26" i="69"/>
  <c r="FV12" i="47"/>
  <c r="GV12" i="47"/>
  <c r="GV47" i="47"/>
  <c r="HV47" i="47"/>
  <c r="Y22" i="62"/>
  <c r="X24" i="63"/>
  <c r="Y24" i="72"/>
  <c r="EV47" i="47"/>
  <c r="FI12" i="47"/>
  <c r="FV47" i="47"/>
  <c r="HI47" i="47"/>
  <c r="II47" i="47"/>
  <c r="AF126" i="47"/>
  <c r="O69" i="33"/>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75" i="48"/>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B37" i="33"/>
  <c r="KQ124" i="47"/>
  <c r="KR124" i="47" s="1"/>
  <c r="AQ124" i="47"/>
  <c r="AR124" i="47" s="1"/>
  <c r="HQ96" i="47"/>
  <c r="HR96" i="47" s="1"/>
  <c r="IQ92" i="47"/>
  <c r="IR92" i="47" s="1"/>
  <c r="W23" i="71"/>
  <c r="F42" i="47"/>
  <c r="HD124" i="47"/>
  <c r="HE124" i="47" s="1"/>
  <c r="BF124" i="47"/>
  <c r="BS94" i="47"/>
  <c r="AQ92" i="47"/>
  <c r="AR92" i="47" s="1"/>
  <c r="Q98" i="47"/>
  <c r="R98" i="47" s="1"/>
  <c r="DF105" i="47"/>
  <c r="AS98" i="47"/>
  <c r="HD105" i="47"/>
  <c r="HE105" i="47" s="1"/>
  <c r="HV12" i="47"/>
  <c r="IV47" i="47"/>
  <c r="JI47" i="47"/>
  <c r="X25" i="64"/>
  <c r="W26" i="64"/>
  <c r="W22" i="69"/>
  <c r="Y22" i="68"/>
  <c r="II5" i="47"/>
  <c r="II26" i="47"/>
  <c r="IV5" i="47"/>
  <c r="JI26" i="47"/>
  <c r="W24" i="72"/>
  <c r="X24" i="72"/>
  <c r="Y22" i="64"/>
  <c r="Y22" i="65"/>
  <c r="Y26" i="69"/>
  <c r="HI5" i="47"/>
  <c r="HV19" i="47"/>
  <c r="JI5"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X23" i="68"/>
  <c r="W23" i="68"/>
  <c r="EV61" i="47"/>
  <c r="HV61" i="47"/>
  <c r="II61" i="47"/>
  <c r="KV61" i="47"/>
  <c r="X23" i="62"/>
  <c r="W26" i="70"/>
  <c r="X26" i="71"/>
  <c r="JV61" i="47"/>
  <c r="X22" i="72"/>
  <c r="JV12" i="47"/>
  <c r="W23" i="63"/>
  <c r="Y23" i="71"/>
  <c r="W27" i="71"/>
  <c r="Y26" i="64"/>
  <c r="W22" i="64"/>
  <c r="W26" i="65"/>
  <c r="X25" i="70"/>
  <c r="X23" i="71"/>
  <c r="X24" i="64"/>
  <c r="J65" i="22"/>
  <c r="X22" i="68"/>
  <c r="GI40"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C74" i="33"/>
  <c r="A58" i="33" s="1"/>
  <c r="C64" i="33" s="1"/>
  <c r="D48" i="33" s="1"/>
  <c r="C69" i="33"/>
  <c r="C68" i="33"/>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DD124" i="47"/>
  <c r="DE124" i="47" s="1"/>
  <c r="KD92" i="47"/>
  <c r="KE92" i="47" s="1"/>
  <c r="ID103" i="47"/>
  <c r="IE103" i="47" s="1"/>
  <c r="MD103" i="47"/>
  <c r="ME103" i="47" s="1"/>
  <c r="DQ96" i="47"/>
  <c r="DR96" i="47" s="1"/>
  <c r="AF124" i="47"/>
  <c r="ED124" i="47"/>
  <c r="EE124" i="47" s="1"/>
  <c r="ED92" i="47"/>
  <c r="EE92" i="47" s="1"/>
  <c r="BQ98" i="47"/>
  <c r="BR98" i="47" s="1"/>
  <c r="GD103" i="47"/>
  <c r="GE103" i="47" s="1"/>
  <c r="DQ105" i="47"/>
  <c r="DR105" i="47" s="1"/>
  <c r="IQ105" i="47"/>
  <c r="IR105" i="47" s="1"/>
  <c r="DD94" i="47"/>
  <c r="DE94" i="47" s="1"/>
  <c r="HS94" i="47"/>
  <c r="CF99" i="47"/>
  <c r="LQ98" i="47"/>
  <c r="LR98" i="47" s="1"/>
  <c r="AD105" i="47"/>
  <c r="AE105" i="47" s="1"/>
  <c r="MF105" i="47"/>
  <c r="CQ98" i="47"/>
  <c r="CR98" i="47" s="1"/>
  <c r="GF92" i="47"/>
  <c r="O67" i="33"/>
  <c r="Q105" i="47"/>
  <c r="R105" i="47" s="1"/>
  <c r="LF92" i="47"/>
  <c r="FS96" i="47"/>
  <c r="HF96" i="47"/>
  <c r="KS96" i="47"/>
  <c r="HV26" i="47"/>
  <c r="IV75" i="47"/>
  <c r="LI12" i="47"/>
  <c r="X25" i="71"/>
  <c r="W24" i="65"/>
  <c r="Y24" i="66"/>
  <c r="X25" i="66"/>
  <c r="Y23" i="68"/>
  <c r="X25" i="68"/>
  <c r="HI26" i="47"/>
  <c r="HV75" i="47"/>
  <c r="IV12" i="47"/>
  <c r="KV5" i="47"/>
  <c r="KV75" i="47"/>
  <c r="X23" i="63"/>
  <c r="W24" i="64"/>
  <c r="KI75" i="47"/>
  <c r="KV12" i="47"/>
  <c r="Y27" i="62"/>
  <c r="X23" i="70"/>
  <c r="Y26" i="65"/>
  <c r="X24" i="65"/>
  <c r="W24" i="69"/>
  <c r="Y24" i="68"/>
  <c r="HI12" i="47"/>
  <c r="IV26" i="47"/>
  <c r="JI75" i="47"/>
  <c r="KV26" i="47"/>
  <c r="KV68"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U69"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I69" i="33"/>
  <c r="DP88" i="47"/>
  <c r="BC88" i="47"/>
  <c r="GP85" i="47"/>
  <c r="HC85" i="47"/>
  <c r="HD85" i="47" s="1"/>
  <c r="ID93" i="47"/>
  <c r="IE93" i="47" s="1"/>
  <c r="DF91" i="47"/>
  <c r="B88" i="48"/>
  <c r="T22" i="33"/>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21" i="48"/>
  <c r="BQ124" i="47"/>
  <c r="BR124" i="47" s="1"/>
  <c r="S124" i="47"/>
  <c r="LS105" i="47"/>
  <c r="ED94" i="47"/>
  <c r="EE94" i="47" s="1"/>
  <c r="MD96" i="47"/>
  <c r="ME96" i="47" s="1"/>
  <c r="AQ94" i="47"/>
  <c r="AR94" i="47" s="1"/>
  <c r="FF103" i="47"/>
  <c r="IV61" i="47"/>
  <c r="KI47" i="47"/>
  <c r="JV47" i="47"/>
  <c r="LV75" i="47"/>
  <c r="LI75" i="47"/>
  <c r="X27" i="69"/>
  <c r="Y27" i="69"/>
  <c r="W27" i="69"/>
  <c r="X27" i="66"/>
  <c r="Y27" i="66"/>
  <c r="W27" i="66"/>
  <c r="X27" i="64"/>
  <c r="Y27" i="64"/>
  <c r="W27" i="64"/>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KD13" i="47"/>
  <c r="KE13" i="47"/>
  <c r="KF13"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T131" i="28"/>
  <c r="GF98" i="47"/>
  <c r="GD98" i="47"/>
  <c r="GE98" i="47" s="1"/>
  <c r="JS98" i="47"/>
  <c r="JQ98" i="47"/>
  <c r="JR98" i="47" s="1"/>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E58" i="33" l="1"/>
  <c r="B54" i="47"/>
  <c r="B75" i="28"/>
  <c r="B61" i="28"/>
  <c r="B54" i="28"/>
  <c r="AI9" i="33"/>
  <c r="AI41" i="33" s="1"/>
  <c r="B47" i="28"/>
  <c r="B26" i="28"/>
  <c r="B82" i="47"/>
  <c r="B19" i="28"/>
  <c r="H9" i="33"/>
  <c r="H41" i="33" s="1"/>
  <c r="E5" i="3"/>
  <c r="B33" i="47"/>
  <c r="B12" i="28"/>
  <c r="N9" i="33"/>
  <c r="N41" i="33" s="1"/>
  <c r="H5" i="3"/>
  <c r="B82" i="28"/>
  <c r="B9" i="33"/>
  <c r="B41" i="33" s="1"/>
  <c r="W9" i="33"/>
  <c r="W41" i="33" s="1"/>
  <c r="K9" i="33"/>
  <c r="K41" i="33" s="1"/>
  <c r="B5" i="28"/>
  <c r="AF9" i="33"/>
  <c r="AF41" i="33" s="1"/>
  <c r="E9" i="33"/>
  <c r="E41" i="33" s="1"/>
  <c r="T9" i="33"/>
  <c r="T41" i="33" s="1"/>
  <c r="Z9" i="33"/>
  <c r="Z41" i="33" s="1"/>
  <c r="B5" i="3"/>
  <c r="Q9" i="33"/>
  <c r="Q41" i="33" s="1"/>
  <c r="AC9" i="33"/>
  <c r="AC41" i="33" s="1"/>
  <c r="H65" i="22"/>
  <c r="H87" i="22"/>
  <c r="I109" i="48" s="1"/>
  <c r="H6" i="22"/>
  <c r="B16" i="33"/>
  <c r="I5" i="48"/>
  <c r="I43" i="48"/>
  <c r="K26" i="33"/>
  <c r="CI89" i="47"/>
  <c r="LV89" i="47"/>
  <c r="BV89" i="47"/>
  <c r="II89" i="47"/>
  <c r="LI89" i="47"/>
  <c r="JI89" i="47"/>
  <c r="HV89" i="47"/>
  <c r="GI89" i="47"/>
  <c r="HI89" i="47"/>
  <c r="GV89" i="47"/>
  <c r="KV89" i="47"/>
  <c r="FI89" i="47"/>
  <c r="I75" i="48"/>
  <c r="Q36" i="33"/>
  <c r="H26" i="22"/>
  <c r="H95" i="22"/>
  <c r="I117" i="48" s="1"/>
  <c r="H80" i="22"/>
  <c r="I96" i="48" s="1"/>
  <c r="H68" i="22"/>
  <c r="H38" i="22"/>
  <c r="H56" i="22"/>
  <c r="H4" i="22"/>
  <c r="H83" i="22"/>
  <c r="I102" i="48" s="1"/>
  <c r="H97" i="22"/>
  <c r="I121" i="48" s="1"/>
  <c r="H27" i="22"/>
  <c r="AF16" i="33" s="1"/>
  <c r="H99" i="22"/>
  <c r="I124" i="48" s="1"/>
  <c r="H55" i="22"/>
  <c r="BR4" i="47"/>
  <c r="MD4" i="47"/>
  <c r="CD4" i="47"/>
  <c r="DD127" i="47"/>
  <c r="FD4" i="47"/>
  <c r="KD127" i="47"/>
  <c r="CD127" i="47"/>
  <c r="ID4" i="47"/>
  <c r="JQ4" i="47"/>
  <c r="KQ127" i="47"/>
  <c r="CQ127" i="47"/>
  <c r="GQ4" i="47"/>
  <c r="HQ127" i="47"/>
  <c r="HQ4" i="47"/>
  <c r="JD4" i="47"/>
  <c r="BD4" i="47"/>
  <c r="GD127" i="47"/>
  <c r="HD127" i="47"/>
  <c r="EQ127" i="47"/>
  <c r="ED127" i="47"/>
  <c r="LD127" i="47"/>
  <c r="LQ127" i="47"/>
  <c r="FQ4" i="47"/>
  <c r="DD4" i="47"/>
  <c r="CQ4" i="47"/>
  <c r="Q4" i="28"/>
  <c r="Q4" i="47"/>
  <c r="BQ4" i="47"/>
  <c r="LQ4" i="47"/>
  <c r="HD4" i="47"/>
  <c r="Q127" i="47"/>
  <c r="KD4" i="47"/>
  <c r="DQ4" i="47"/>
  <c r="AQ127" i="47"/>
  <c r="AQ4" i="47"/>
  <c r="GD4" i="47"/>
  <c r="MD127" i="47"/>
  <c r="AD127" i="47"/>
  <c r="ED4" i="47"/>
  <c r="LD4" i="47"/>
  <c r="KQ4" i="47"/>
  <c r="AD4" i="47"/>
  <c r="ID127" i="47"/>
  <c r="Q129" i="28"/>
  <c r="EQ4" i="47"/>
  <c r="DQ127" i="47"/>
  <c r="IQ127" i="47"/>
  <c r="IQ4" i="47"/>
  <c r="GQ127" i="47"/>
  <c r="N26" i="33"/>
  <c r="I47" i="48"/>
  <c r="O68" i="33"/>
  <c r="C11" i="3"/>
  <c r="I17" i="3"/>
  <c r="F5" i="3"/>
  <c r="C5" i="3"/>
  <c r="I5" i="3"/>
  <c r="Q85" i="73"/>
  <c r="F21" i="73"/>
  <c r="F61" i="73"/>
  <c r="F37" i="73"/>
  <c r="AB69" i="73"/>
  <c r="B145" i="48"/>
  <c r="K113" i="22"/>
  <c r="L95" i="33" s="1"/>
  <c r="D7" i="44"/>
  <c r="F7" i="44"/>
  <c r="I7" i="44"/>
  <c r="H57" i="22"/>
  <c r="H15" i="22"/>
  <c r="Q16" i="33" s="1"/>
  <c r="H79" i="22"/>
  <c r="I98" i="48" s="1"/>
  <c r="H39" i="22"/>
  <c r="IC127" i="47"/>
  <c r="CP4" i="47"/>
  <c r="BP4" i="47"/>
  <c r="GC4" i="47"/>
  <c r="HC4" i="47"/>
  <c r="P129" i="28"/>
  <c r="FP127" i="47"/>
  <c r="DC4" i="47"/>
  <c r="P4" i="47"/>
  <c r="BP127" i="47"/>
  <c r="HP4" i="47"/>
  <c r="BC127" i="47"/>
  <c r="FP4" i="47"/>
  <c r="IP4" i="47"/>
  <c r="IP127" i="47"/>
  <c r="MC4" i="47"/>
  <c r="KC4" i="47"/>
  <c r="EC127" i="47"/>
  <c r="AC4" i="47"/>
  <c r="H84" i="22"/>
  <c r="I104" i="48" s="1"/>
  <c r="H28" i="22"/>
  <c r="H46" i="22"/>
  <c r="H98" i="22"/>
  <c r="I123" i="48" s="1"/>
  <c r="H73" i="22"/>
  <c r="AC36" i="33" s="1"/>
  <c r="H92" i="22"/>
  <c r="I114" i="48" s="1"/>
  <c r="H108" i="22"/>
  <c r="LG4" i="47"/>
  <c r="HT4" i="47"/>
  <c r="KT4" i="47"/>
  <c r="AG4" i="47"/>
  <c r="BT4" i="47"/>
  <c r="AG127" i="47"/>
  <c r="T4" i="47"/>
  <c r="GT127" i="47"/>
  <c r="MG4" i="47"/>
  <c r="KG127" i="47"/>
  <c r="LT4" i="47"/>
  <c r="CT4" i="47"/>
  <c r="HG127" i="47"/>
  <c r="LG127" i="47"/>
  <c r="JT127" i="47"/>
  <c r="HT127" i="47"/>
  <c r="MG127" i="47"/>
  <c r="DT4" i="47"/>
  <c r="FT127" i="47"/>
  <c r="T129" i="28"/>
  <c r="DG4" i="47"/>
  <c r="FG4" i="47"/>
  <c r="H89" i="22"/>
  <c r="I110" i="48" s="1"/>
  <c r="H43" i="22"/>
  <c r="T26" i="33" s="1"/>
  <c r="B115" i="28"/>
  <c r="B115" i="47"/>
  <c r="B1" i="28"/>
  <c r="B1" i="47"/>
  <c r="C3" i="29"/>
  <c r="C3" i="32"/>
  <c r="AF31" i="33"/>
  <c r="I88" i="48"/>
  <c r="B123" i="28"/>
  <c r="B123" i="47"/>
  <c r="F2" i="33"/>
  <c r="AJ2" i="33"/>
  <c r="AD2" i="33"/>
  <c r="AG2" i="33"/>
  <c r="L2" i="33"/>
  <c r="O2" i="33"/>
  <c r="I2" i="33"/>
  <c r="AA2" i="33"/>
  <c r="AL85" i="73"/>
  <c r="AA77" i="73"/>
  <c r="AL61" i="73"/>
  <c r="E5" i="73"/>
  <c r="P77" i="73"/>
  <c r="P37" i="73"/>
  <c r="E21" i="73"/>
  <c r="E93" i="73"/>
  <c r="AL21" i="73"/>
  <c r="P85" i="73"/>
  <c r="E37" i="73"/>
  <c r="AA21" i="73"/>
  <c r="AA5" i="73"/>
  <c r="AL37" i="73"/>
  <c r="P53" i="73"/>
  <c r="P21" i="73"/>
  <c r="P5" i="73"/>
  <c r="AA37" i="73"/>
  <c r="AV37" i="73"/>
  <c r="B2" i="3"/>
  <c r="I28" i="48"/>
  <c r="AC16" i="33"/>
  <c r="HF13" i="47"/>
  <c r="T31" i="33"/>
  <c r="I83" i="48"/>
  <c r="I26" i="48"/>
  <c r="Z16" i="33"/>
  <c r="I41" i="48"/>
  <c r="H21" i="33"/>
  <c r="Z31" i="33"/>
  <c r="I79" i="48"/>
  <c r="I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D57" i="26"/>
  <c r="I51" i="48"/>
  <c r="T21" i="33"/>
  <c r="CF13" i="47"/>
  <c r="CD13" i="47"/>
  <c r="HR13" i="47"/>
  <c r="Q58" i="33"/>
  <c r="R64" i="33"/>
  <c r="AH48" i="33" s="1"/>
  <c r="AI49" i="33" s="1"/>
  <c r="HS13" i="47"/>
  <c r="B146" i="48"/>
  <c r="B38" i="48"/>
  <c r="B48" i="48"/>
  <c r="H22" i="33"/>
  <c r="Q59" i="33"/>
  <c r="C58" i="48"/>
  <c r="C110" i="48"/>
  <c r="B110" i="48"/>
  <c r="N12" i="33"/>
  <c r="C17" i="48"/>
  <c r="B22" i="33"/>
  <c r="C36" i="48"/>
  <c r="B36" i="48"/>
  <c r="C127" i="48"/>
  <c r="B127" i="48"/>
  <c r="E17" i="33"/>
  <c r="B15" i="48"/>
  <c r="C15" i="48"/>
  <c r="B12" i="33"/>
  <c r="B26" i="48"/>
  <c r="K27" i="33"/>
  <c r="B27" i="33"/>
  <c r="C120" i="48"/>
  <c r="B120" i="48"/>
  <c r="C102" i="48"/>
  <c r="B102" i="48"/>
  <c r="Q22" i="33"/>
  <c r="B4" i="48"/>
  <c r="C81" i="48"/>
  <c r="AI37" i="33"/>
  <c r="K37" i="33"/>
  <c r="B77" i="48"/>
  <c r="C77" i="48"/>
  <c r="C27" i="48"/>
  <c r="B27" i="48"/>
  <c r="AI17" i="33"/>
  <c r="C76" i="48"/>
  <c r="C22" i="48"/>
  <c r="AC12" i="33"/>
  <c r="T32" i="33"/>
  <c r="K12" i="33"/>
  <c r="C48" i="48"/>
  <c r="T12" i="33"/>
  <c r="B20" i="48"/>
  <c r="W12" i="33"/>
  <c r="C20" i="48"/>
  <c r="B105" i="48"/>
  <c r="C105" i="48"/>
  <c r="B66" i="48"/>
  <c r="H37" i="33"/>
  <c r="C66" i="48"/>
  <c r="B76" i="48"/>
  <c r="P79" i="28"/>
  <c r="S79" i="28" s="1"/>
  <c r="B22" i="48"/>
  <c r="C143" i="48"/>
  <c r="IS13" i="47"/>
  <c r="C91" i="48"/>
  <c r="B91" i="48"/>
  <c r="AF37" i="33"/>
  <c r="B62" i="48"/>
  <c r="AF22" i="33"/>
  <c r="C62" i="48"/>
  <c r="C73" i="48"/>
  <c r="H12" i="33"/>
  <c r="B7" i="48"/>
  <c r="B31" i="48"/>
  <c r="C52" i="48"/>
  <c r="Z27" i="33"/>
  <c r="B52" i="48"/>
  <c r="C134" i="48"/>
  <c r="B134" i="48"/>
  <c r="AI32" i="33"/>
  <c r="N59" i="33"/>
  <c r="B73" i="48"/>
  <c r="IQ13" i="47"/>
  <c r="C13" i="48"/>
  <c r="C31" i="48"/>
  <c r="C26" i="48"/>
  <c r="K22" i="33"/>
  <c r="B42" i="48"/>
  <c r="B43" i="48"/>
  <c r="N22" i="33"/>
  <c r="C43" i="48"/>
  <c r="C109" i="48"/>
  <c r="B109" i="48"/>
  <c r="Z37" i="33"/>
  <c r="C80" i="48"/>
  <c r="Z12" i="33"/>
  <c r="B25" i="48"/>
  <c r="C25" i="48"/>
  <c r="B32" i="33"/>
  <c r="C70" i="48"/>
  <c r="B70" i="48"/>
  <c r="B138" i="48"/>
  <c r="JR71" i="47"/>
  <c r="KS10" i="47"/>
  <c r="ES71" i="47"/>
  <c r="EQ71" i="47"/>
  <c r="LF6" i="47"/>
  <c r="CF80" i="47"/>
  <c r="IF10" i="47"/>
  <c r="AF10" i="47"/>
  <c r="C18" i="48"/>
  <c r="Q12" i="33"/>
  <c r="B18" i="48"/>
  <c r="N17" i="33"/>
  <c r="B11" i="48"/>
  <c r="C11" i="48"/>
  <c r="B114" i="48"/>
  <c r="C114" i="48"/>
  <c r="LD6" i="47"/>
  <c r="B117" i="48"/>
  <c r="C117" i="48"/>
  <c r="C74" i="48"/>
  <c r="Q32" i="33"/>
  <c r="B74" i="48"/>
  <c r="B89" i="48"/>
  <c r="C89" i="48"/>
  <c r="AC37" i="33"/>
  <c r="AC27" i="33"/>
  <c r="B64" i="33"/>
  <c r="A48" i="33" s="1"/>
  <c r="B49" i="33" s="1"/>
  <c r="B69" i="48"/>
  <c r="P27" i="28"/>
  <c r="AF6" i="47"/>
  <c r="B16" i="48"/>
  <c r="H27" i="33"/>
  <c r="B57" i="33"/>
  <c r="CE80" i="47"/>
  <c r="KE10" i="47"/>
  <c r="JS71" i="47"/>
  <c r="KF10" i="47"/>
  <c r="C33" i="48"/>
  <c r="B33" i="48"/>
  <c r="AI12" i="33"/>
  <c r="F64" i="33"/>
  <c r="J48" i="33" s="1"/>
  <c r="K49" i="33" s="1"/>
  <c r="O64" i="33"/>
  <c r="AB48" i="33" s="1"/>
  <c r="N57" i="33"/>
  <c r="N58" i="33"/>
  <c r="P64" i="28"/>
  <c r="R64" i="28" s="1"/>
  <c r="HE6" i="47"/>
  <c r="CD71" i="47"/>
  <c r="P41" i="28"/>
  <c r="Q41" i="28" s="1"/>
  <c r="KF28" i="47"/>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BR10" i="47"/>
  <c r="BS10" i="47"/>
  <c r="D10" i="26"/>
  <c r="D8" i="61" s="1"/>
  <c r="D17" i="61" s="1"/>
  <c r="P29" i="28"/>
  <c r="R29" i="28" s="1"/>
  <c r="CF71" i="47"/>
  <c r="DF6" i="47"/>
  <c r="DD10" i="47"/>
  <c r="KD6" i="47"/>
  <c r="ES6" i="47"/>
  <c r="KE6" i="47"/>
  <c r="EE6" i="47"/>
  <c r="CD10" i="47"/>
  <c r="JF10" i="47"/>
  <c r="CQ10" i="47"/>
  <c r="DE6" i="47"/>
  <c r="JQ10" i="47"/>
  <c r="KS6" i="47"/>
  <c r="ED6" i="47"/>
  <c r="HD6" i="47"/>
  <c r="CF10" i="47"/>
  <c r="CS10" i="47"/>
  <c r="JS10" i="47"/>
  <c r="IS6" i="47"/>
  <c r="ER6" i="47"/>
  <c r="IF71" i="47"/>
  <c r="GQ10" i="47"/>
  <c r="EE10" i="47"/>
  <c r="D7" i="63"/>
  <c r="D16" i="63" s="1"/>
  <c r="ED10" i="47"/>
  <c r="KQ6" i="47"/>
  <c r="GQ6" i="47"/>
  <c r="BS6" i="47"/>
  <c r="LQ10" i="47"/>
  <c r="ME6" i="47"/>
  <c r="BR6" i="47"/>
  <c r="JE10" i="47"/>
  <c r="LR10" i="47"/>
  <c r="LR6" i="47"/>
  <c r="FR71" i="47"/>
  <c r="MD6" i="47"/>
  <c r="DE10" i="47"/>
  <c r="LS6" i="47"/>
  <c r="J11" i="22"/>
  <c r="FQ71" i="47"/>
  <c r="EQ10" i="47"/>
  <c r="BR71" i="47"/>
  <c r="Q7" i="68"/>
  <c r="ER10" i="47"/>
  <c r="DS6" i="47"/>
  <c r="FR6" i="47"/>
  <c r="DR6" i="47"/>
  <c r="FF6" i="47"/>
  <c r="BS71" i="47"/>
  <c r="CQ6" i="47"/>
  <c r="CR6" i="47"/>
  <c r="R55" i="28"/>
  <c r="DR10" i="47"/>
  <c r="P80" i="28"/>
  <c r="R80" i="28" s="1"/>
  <c r="FS6" i="47"/>
  <c r="FD6" i="47"/>
  <c r="BE6" i="47"/>
  <c r="S10" i="47"/>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FS10" i="47"/>
  <c r="AE6" i="47"/>
  <c r="IE10" i="47"/>
  <c r="AE10" i="47"/>
  <c r="DS10" i="47"/>
  <c r="KQ10" i="47"/>
  <c r="GR10" i="47"/>
  <c r="GD10" i="47"/>
  <c r="P71" i="28"/>
  <c r="R71" i="28" s="1"/>
  <c r="FQ10" i="47"/>
  <c r="MF10" i="47"/>
  <c r="IE71" i="47"/>
  <c r="E7" i="3"/>
  <c r="R10" i="47"/>
  <c r="HF10" i="47"/>
  <c r="GD6" i="47"/>
  <c r="EF71" i="47"/>
  <c r="I53" i="22"/>
  <c r="H38" i="33" s="1"/>
  <c r="P27" i="63" s="1"/>
  <c r="GF6" i="47"/>
  <c r="HS6" i="47"/>
  <c r="LF10" i="47"/>
  <c r="ED71" i="47"/>
  <c r="J33" i="22"/>
  <c r="LE10" i="47"/>
  <c r="HQ6" i="47"/>
  <c r="HD10" i="47"/>
  <c r="N8" i="48"/>
  <c r="AZ8" i="33" s="1"/>
  <c r="J52" i="22"/>
  <c r="I33" i="33" s="1"/>
  <c r="Q26" i="63" s="1"/>
  <c r="KR28" i="47"/>
  <c r="H9" i="3"/>
  <c r="HP67" i="47"/>
  <c r="HQ67" i="47" s="1"/>
  <c r="S31" i="28"/>
  <c r="LS48" i="47"/>
  <c r="HR28" i="47"/>
  <c r="Q31" i="28"/>
  <c r="I62" i="22"/>
  <c r="K33" i="33" s="1"/>
  <c r="P26" i="70" s="1"/>
  <c r="E20" i="3"/>
  <c r="J66" i="22"/>
  <c r="U33" i="33" s="1"/>
  <c r="Q26" i="64" s="1"/>
  <c r="Z32" i="64" s="1"/>
  <c r="GE20" i="47"/>
  <c r="Q7" i="64"/>
  <c r="Q7" i="66"/>
  <c r="AF62" i="47"/>
  <c r="FS28" i="47"/>
  <c r="FC76" i="47"/>
  <c r="FF76" i="47"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J69" i="22"/>
  <c r="E84" i="48" s="1"/>
  <c r="I17" i="22"/>
  <c r="W13" i="33" s="1"/>
  <c r="P22" i="65" s="1"/>
  <c r="KC76" i="47"/>
  <c r="KF76" i="47" s="1"/>
  <c r="KP76" i="47"/>
  <c r="KQ76" i="47" s="1"/>
  <c r="J8" i="22"/>
  <c r="E24" i="3"/>
  <c r="E27" i="3"/>
  <c r="MC76" i="47"/>
  <c r="MD76" i="47" s="1"/>
  <c r="GC76" i="47"/>
  <c r="GF76" i="47" s="1"/>
  <c r="R80" i="47"/>
  <c r="I33" i="22"/>
  <c r="I52" i="22"/>
  <c r="I41" i="22"/>
  <c r="AP76" i="47"/>
  <c r="AR76" i="47" s="1"/>
  <c r="FP76" i="47"/>
  <c r="FS76" i="47" s="1"/>
  <c r="D8" i="71"/>
  <c r="D17" i="71" s="1"/>
  <c r="IF28" i="47"/>
  <c r="JS28" i="47"/>
  <c r="AD28" i="47"/>
  <c r="AE28" i="47"/>
  <c r="J53" i="22"/>
  <c r="I38" i="33" s="1"/>
  <c r="Q27" i="63" s="1"/>
  <c r="HP76" i="47"/>
  <c r="HQ76" i="47" s="1"/>
  <c r="AC76" i="47"/>
  <c r="AF76" i="47" s="1"/>
  <c r="J15" i="22"/>
  <c r="E16" i="48" s="1"/>
  <c r="IE28" i="47"/>
  <c r="S80" i="47"/>
  <c r="I58" i="22"/>
  <c r="N33" i="33" s="1"/>
  <c r="P26" i="72" s="1"/>
  <c r="J37" i="22"/>
  <c r="LC46" i="47"/>
  <c r="LE46" i="47" s="1"/>
  <c r="Q6" i="63"/>
  <c r="J13" i="22"/>
  <c r="J10" i="22"/>
  <c r="I13" i="33" s="1"/>
  <c r="Q22" i="63" s="1"/>
  <c r="LF85" i="47"/>
  <c r="DS48" i="47"/>
  <c r="DQ48" i="47"/>
  <c r="BS72" i="47"/>
  <c r="GF28" i="47"/>
  <c r="BE28" i="47"/>
  <c r="HD28" i="47"/>
  <c r="GD28" i="47"/>
  <c r="BR72" i="47"/>
  <c r="BD28" i="47"/>
  <c r="EQ20" i="47"/>
  <c r="HF28" i="47"/>
  <c r="I38" i="22"/>
  <c r="Q55" i="28"/>
  <c r="ES28" i="47"/>
  <c r="I32" i="22"/>
  <c r="E13" i="3"/>
  <c r="D5" i="64"/>
  <c r="Q5" i="64" s="1"/>
  <c r="I14" i="22"/>
  <c r="J39" i="22"/>
  <c r="D7" i="61"/>
  <c r="Q7" i="61" s="1"/>
  <c r="FS13" i="47"/>
  <c r="J60" i="22"/>
  <c r="E74" i="48" s="1"/>
  <c r="D8" i="69"/>
  <c r="D17" i="69" s="1"/>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R48" i="47"/>
  <c r="LF13" i="47"/>
  <c r="J57" i="22"/>
  <c r="E69" i="48" s="1"/>
  <c r="B8" i="3"/>
  <c r="I10" i="22"/>
  <c r="H13" i="33" s="1"/>
  <c r="P22" i="63" s="1"/>
  <c r="D6" i="71"/>
  <c r="D15" i="71" s="1"/>
  <c r="CE72" i="47"/>
  <c r="I5" i="22"/>
  <c r="B18" i="33" s="1"/>
  <c r="P23" i="61" s="1"/>
  <c r="LQ48" i="47"/>
  <c r="B18" i="3"/>
  <c r="HP79" i="47"/>
  <c r="HS79" i="47" s="1"/>
  <c r="ER20" i="47"/>
  <c r="J23" i="22"/>
  <c r="AD18" i="33" s="1"/>
  <c r="Q23" i="66" s="1"/>
  <c r="JD28" i="47"/>
  <c r="E9" i="3"/>
  <c r="JE28" i="47"/>
  <c r="J54" i="22"/>
  <c r="F33" i="33" s="1"/>
  <c r="Q26" i="62" s="1"/>
  <c r="J35" i="22"/>
  <c r="D7" i="70"/>
  <c r="Q7" i="70" s="1"/>
  <c r="D7" i="65"/>
  <c r="Q7" i="65" s="1"/>
  <c r="J68" i="22"/>
  <c r="X33" i="33" s="1"/>
  <c r="Q26" i="65" s="1"/>
  <c r="D5" i="62"/>
  <c r="D14" i="62" s="1"/>
  <c r="P24" i="28"/>
  <c r="S24" i="28" s="1"/>
  <c r="CF72" i="47"/>
  <c r="JR78" i="47"/>
  <c r="LP79" i="47"/>
  <c r="LQ79" i="47" s="1"/>
  <c r="D12" i="48"/>
  <c r="AD62" i="47"/>
  <c r="HC79" i="47"/>
  <c r="HF79" i="47" s="1"/>
  <c r="MC79" i="47"/>
  <c r="ME79" i="47" s="1"/>
  <c r="J61" i="22"/>
  <c r="R38" i="33" s="1"/>
  <c r="Q27" i="71" s="1"/>
  <c r="I47" i="22"/>
  <c r="I59" i="22"/>
  <c r="N38" i="33" s="1"/>
  <c r="P27" i="72" s="1"/>
  <c r="HQ28" i="47"/>
  <c r="E12" i="3"/>
  <c r="P13" i="28"/>
  <c r="R13" i="28" s="1"/>
  <c r="CP79" i="47"/>
  <c r="CQ79" i="47" s="1"/>
  <c r="S72" i="47"/>
  <c r="CR28" i="47"/>
  <c r="J12" i="22"/>
  <c r="O18" i="33" s="1"/>
  <c r="Q23" i="72" s="1"/>
  <c r="I73" i="22"/>
  <c r="AC38" i="33" s="1"/>
  <c r="P27" i="66" s="1"/>
  <c r="I19" i="22"/>
  <c r="T13" i="33" s="1"/>
  <c r="P22" i="64" s="1"/>
  <c r="I30" i="22"/>
  <c r="I6" i="22"/>
  <c r="E13" i="33" s="1"/>
  <c r="P22" i="62" s="1"/>
  <c r="B26" i="3"/>
  <c r="E18" i="48"/>
  <c r="H15" i="3"/>
  <c r="GP79" i="47"/>
  <c r="GQ79" i="47" s="1"/>
  <c r="LS28" i="47"/>
  <c r="Q72" i="47"/>
  <c r="JF62" i="47"/>
  <c r="JE62" i="47"/>
  <c r="I60" i="22"/>
  <c r="Q33" i="33" s="1"/>
  <c r="P26" i="71" s="1"/>
  <c r="ID80" i="47"/>
  <c r="LQ28" i="47"/>
  <c r="KQ28" i="47"/>
  <c r="CQ28" i="47"/>
  <c r="CC83" i="47"/>
  <c r="CD83" i="47" s="1"/>
  <c r="GD80" i="47"/>
  <c r="D13" i="26"/>
  <c r="HQ71" i="47"/>
  <c r="EP70" i="47"/>
  <c r="ES70" i="47" s="1"/>
  <c r="LF28" i="47"/>
  <c r="ME62" i="47"/>
  <c r="CP70" i="47"/>
  <c r="CR70" i="47" s="1"/>
  <c r="GE80" i="47"/>
  <c r="AC70" i="47"/>
  <c r="AF70" i="47" s="1"/>
  <c r="FF13" i="47"/>
  <c r="FR28" i="47"/>
  <c r="LP70" i="47"/>
  <c r="LR70" i="47" s="1"/>
  <c r="LC70" i="47"/>
  <c r="LE70" i="47" s="1"/>
  <c r="IC70" i="47"/>
  <c r="IE70" i="47" s="1"/>
  <c r="DP70" i="47"/>
  <c r="DR70" i="47" s="1"/>
  <c r="KQ72" i="47"/>
  <c r="IP70" i="47"/>
  <c r="IQ70" i="47" s="1"/>
  <c r="KR72" i="47"/>
  <c r="DC70" i="47"/>
  <c r="DE70" i="47" s="1"/>
  <c r="KP70" i="47"/>
  <c r="KQ70" i="47" s="1"/>
  <c r="BC70" i="47"/>
  <c r="BE70" i="47" s="1"/>
  <c r="HC70" i="47"/>
  <c r="HF70" i="47" s="1"/>
  <c r="GC70" i="47"/>
  <c r="GE70" i="47" s="1"/>
  <c r="P20" i="28"/>
  <c r="R20" i="28" s="1"/>
  <c r="AF13" i="47"/>
  <c r="P70" i="47"/>
  <c r="S70" i="47" s="1"/>
  <c r="Q48" i="47"/>
  <c r="HP70" i="47"/>
  <c r="HS70" i="47" s="1"/>
  <c r="AD13" i="47"/>
  <c r="BP70" i="47"/>
  <c r="BQ70" i="47" s="1"/>
  <c r="JP70" i="47"/>
  <c r="JQ70" i="47" s="1"/>
  <c r="LE28" i="47"/>
  <c r="HS71" i="47"/>
  <c r="JR13" i="47"/>
  <c r="JS13" i="47"/>
  <c r="JE85" i="47"/>
  <c r="DE62" i="47"/>
  <c r="DD62" i="47"/>
  <c r="P21" i="28"/>
  <c r="R21" i="28" s="1"/>
  <c r="I57" i="22"/>
  <c r="B38" i="33" s="1"/>
  <c r="P27" i="61" s="1"/>
  <c r="D6" i="69"/>
  <c r="Q6" i="69" s="1"/>
  <c r="J51" i="22"/>
  <c r="AG28" i="33" s="1"/>
  <c r="Q25" i="68" s="1"/>
  <c r="AR20" i="47"/>
  <c r="D6" i="68"/>
  <c r="D15" i="68" s="1"/>
  <c r="I12" i="22"/>
  <c r="N18" i="33" s="1"/>
  <c r="P23" i="72" s="1"/>
  <c r="J36" i="22"/>
  <c r="J26" i="22"/>
  <c r="E52" i="48"/>
  <c r="AS20" i="47"/>
  <c r="I63" i="22"/>
  <c r="K38" i="33" s="1"/>
  <c r="P27" i="70" s="1"/>
  <c r="I75" i="22"/>
  <c r="AF38" i="33" s="1"/>
  <c r="P27" i="68" s="1"/>
  <c r="LC53" i="47"/>
  <c r="LF53" i="47" s="1"/>
  <c r="BP53" i="47"/>
  <c r="BS53" i="47" s="1"/>
  <c r="AR70" i="47"/>
  <c r="D6" i="70"/>
  <c r="D15" i="70" s="1"/>
  <c r="JP53" i="47"/>
  <c r="JS53" i="47" s="1"/>
  <c r="AE20" i="47"/>
  <c r="I65" i="22"/>
  <c r="Z38" i="33" s="1"/>
  <c r="P27" i="69" s="1"/>
  <c r="HY133" i="47"/>
  <c r="J7" i="22"/>
  <c r="L13" i="33" s="1"/>
  <c r="Q22" i="70" s="1"/>
  <c r="E8" i="3"/>
  <c r="AP53" i="47"/>
  <c r="AQ53" i="47" s="1"/>
  <c r="AS70" i="47"/>
  <c r="LN132" i="47"/>
  <c r="J71" i="22"/>
  <c r="E87" i="48" s="1"/>
  <c r="J20" i="22"/>
  <c r="AA13" i="33" s="1"/>
  <c r="Q22" i="69" s="1"/>
  <c r="D7" i="72"/>
  <c r="HP53" i="47"/>
  <c r="HQ53" i="47" s="1"/>
  <c r="Q6" i="72"/>
  <c r="AF20" i="47"/>
  <c r="LL132" i="47"/>
  <c r="H7" i="3"/>
  <c r="IC53" i="47"/>
  <c r="ID53" i="47" s="1"/>
  <c r="IP53" i="47"/>
  <c r="IR53" i="47" s="1"/>
  <c r="DC53" i="47"/>
  <c r="DE53" i="47" s="1"/>
  <c r="Q8" i="64"/>
  <c r="D17" i="64"/>
  <c r="D16" i="66"/>
  <c r="I20" i="22"/>
  <c r="Z13" i="33" s="1"/>
  <c r="P22" i="69" s="1"/>
  <c r="D6" i="61"/>
  <c r="Q6" i="61" s="1"/>
  <c r="J64" i="22"/>
  <c r="AA33" i="33" s="1"/>
  <c r="Q26" i="69" s="1"/>
  <c r="LP39" i="47"/>
  <c r="LQ39" i="47" s="1"/>
  <c r="H6" i="3"/>
  <c r="I45" i="22"/>
  <c r="AR28" i="47"/>
  <c r="E21" i="3"/>
  <c r="AQ28" i="47"/>
  <c r="I43" i="22"/>
  <c r="T28" i="33" s="1"/>
  <c r="P25" i="64" s="1"/>
  <c r="J18" i="22"/>
  <c r="B24" i="3"/>
  <c r="J62" i="22"/>
  <c r="L33" i="33" s="1"/>
  <c r="Q26" i="70" s="1"/>
  <c r="I67" i="22"/>
  <c r="T38" i="33" s="1"/>
  <c r="P27" i="64" s="1"/>
  <c r="P35" i="28"/>
  <c r="S35" i="28" s="1"/>
  <c r="D5" i="70"/>
  <c r="Q5" i="70" s="1"/>
  <c r="B7" i="3"/>
  <c r="J28" i="22"/>
  <c r="C23" i="33" s="1"/>
  <c r="Q24" i="61" s="1"/>
  <c r="LD48" i="47"/>
  <c r="I35" i="22"/>
  <c r="LF48" i="47"/>
  <c r="B19" i="3"/>
  <c r="JQ78" i="47"/>
  <c r="AE80" i="47"/>
  <c r="GR28" i="47"/>
  <c r="MD62" i="47"/>
  <c r="AF80" i="47"/>
  <c r="LS72" i="47"/>
  <c r="BS28" i="47"/>
  <c r="I68" i="22"/>
  <c r="W33" i="33" s="1"/>
  <c r="P26" i="65" s="1"/>
  <c r="E25" i="3"/>
  <c r="MF13" i="47"/>
  <c r="FE72" i="47"/>
  <c r="D6" i="65"/>
  <c r="D15" i="65" s="1"/>
  <c r="KE28" i="47"/>
  <c r="B25" i="3"/>
  <c r="ME20" i="47"/>
  <c r="IS20" i="47"/>
  <c r="LQ72" i="47"/>
  <c r="J17" i="22"/>
  <c r="X13" i="33" s="1"/>
  <c r="Q22" i="65" s="1"/>
  <c r="FQ13" i="47"/>
  <c r="BR28" i="47"/>
  <c r="GS28" i="47"/>
  <c r="MC53" i="47"/>
  <c r="MD53" i="47" s="1"/>
  <c r="GD20" i="47"/>
  <c r="LC39" i="47"/>
  <c r="LF39" i="47" s="1"/>
  <c r="S28" i="47"/>
  <c r="D5" i="66"/>
  <c r="Q5" i="66" s="1"/>
  <c r="EQ28" i="47"/>
  <c r="I54" i="22"/>
  <c r="R28" i="47"/>
  <c r="P76" i="28"/>
  <c r="I71" i="22"/>
  <c r="S20" i="47"/>
  <c r="I29" i="22"/>
  <c r="E23" i="33" s="1"/>
  <c r="P24" i="62" s="1"/>
  <c r="J25" i="22"/>
  <c r="AJ13" i="33" s="1"/>
  <c r="Q22" i="67" s="1"/>
  <c r="EC50" i="47"/>
  <c r="EE50" i="47" s="1"/>
  <c r="BC53" i="47"/>
  <c r="BF53" i="47" s="1"/>
  <c r="AC53" i="47"/>
  <c r="AE53" i="47" s="1"/>
  <c r="MC67" i="47"/>
  <c r="MD67" i="47" s="1"/>
  <c r="GQ20" i="47"/>
  <c r="B15" i="3"/>
  <c r="J49" i="22"/>
  <c r="AJ28" i="33" s="1"/>
  <c r="Q25" i="67" s="1"/>
  <c r="HC50" i="47"/>
  <c r="HE50" i="47" s="1"/>
  <c r="EC53" i="47"/>
  <c r="EE53" i="47" s="1"/>
  <c r="GP53" i="47"/>
  <c r="GR53" i="47" s="1"/>
  <c r="KP67" i="47"/>
  <c r="KS67" i="47" s="1"/>
  <c r="J73" i="22"/>
  <c r="AD38" i="33" s="1"/>
  <c r="Q27" i="66" s="1"/>
  <c r="EE28" i="47"/>
  <c r="D8" i="62"/>
  <c r="D17" i="62" s="1"/>
  <c r="Q6" i="67"/>
  <c r="H25" i="3"/>
  <c r="BP50" i="47"/>
  <c r="BS50" i="47" s="1"/>
  <c r="GC53" i="47"/>
  <c r="GF53" i="47" s="1"/>
  <c r="DP53" i="47"/>
  <c r="DS53" i="47" s="1"/>
  <c r="KR20" i="47"/>
  <c r="ED28" i="47"/>
  <c r="HD20" i="47"/>
  <c r="FS80" i="47"/>
  <c r="FQ80" i="47"/>
  <c r="AC50" i="47"/>
  <c r="AD50" i="47" s="1"/>
  <c r="CP53" i="47"/>
  <c r="CR53" i="47" s="1"/>
  <c r="P46" i="28"/>
  <c r="R46" i="28" s="1"/>
  <c r="MC39" i="47"/>
  <c r="MF39" i="47" s="1"/>
  <c r="HF20" i="47"/>
  <c r="GL69" i="47"/>
  <c r="KY69" i="47"/>
  <c r="FC39" i="47"/>
  <c r="FD39" i="47" s="1"/>
  <c r="FE13" i="47"/>
  <c r="FD72" i="47"/>
  <c r="DE15" i="47"/>
  <c r="P48" i="28"/>
  <c r="FP70" i="47"/>
  <c r="FC70" i="47"/>
  <c r="MC70" i="47"/>
  <c r="KC70" i="47"/>
  <c r="JC70" i="47"/>
  <c r="GP70" i="47"/>
  <c r="CC70" i="47"/>
  <c r="EC70" i="47"/>
  <c r="DD15" i="47"/>
  <c r="CP60" i="47"/>
  <c r="CQ60" i="47" s="1"/>
  <c r="JC39" i="47"/>
  <c r="JE39" i="47" s="1"/>
  <c r="P72" i="28"/>
  <c r="IR28" i="47"/>
  <c r="IS28" i="47"/>
  <c r="E69" i="28"/>
  <c r="EC39" i="47"/>
  <c r="ED39" i="47" s="1"/>
  <c r="P62" i="28"/>
  <c r="S62" i="28" s="1"/>
  <c r="HQ80" i="47"/>
  <c r="DC39" i="47"/>
  <c r="DD39" i="47" s="1"/>
  <c r="ME71" i="47"/>
  <c r="GQ72" i="47"/>
  <c r="HR80" i="47"/>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CC124" i="47"/>
  <c r="CB108" i="47"/>
  <c r="CB107" i="47"/>
  <c r="CC126" i="47"/>
  <c r="LC124" i="47"/>
  <c r="LB108" i="47"/>
  <c r="LB107" i="47"/>
  <c r="LC126" i="47"/>
  <c r="HC124" i="47"/>
  <c r="HB108" i="47"/>
  <c r="HC126" i="47"/>
  <c r="HB107" i="47"/>
  <c r="MC124" i="47"/>
  <c r="MC126" i="47"/>
  <c r="MB108" i="47"/>
  <c r="MB107" i="47"/>
  <c r="K13" i="33"/>
  <c r="P22" i="70" s="1"/>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DQ85" i="47"/>
  <c r="E41" i="28"/>
  <c r="I4" i="22"/>
  <c r="B13" i="33" s="1"/>
  <c r="P22" i="61" s="1"/>
  <c r="FC50" i="47"/>
  <c r="FF50" i="47" s="1"/>
  <c r="JP50" i="47"/>
  <c r="JQ50" i="47" s="1"/>
  <c r="HP50" i="47"/>
  <c r="HQ50" i="47" s="1"/>
  <c r="JP29" i="47"/>
  <c r="JQ29" i="47" s="1"/>
  <c r="KS20" i="47"/>
  <c r="CC79" i="47"/>
  <c r="EC79" i="47"/>
  <c r="AP79" i="47"/>
  <c r="GC79" i="47"/>
  <c r="KC79" i="47"/>
  <c r="LC79" i="47"/>
  <c r="IP79" i="47"/>
  <c r="EP79" i="47"/>
  <c r="BP79" i="47"/>
  <c r="DC79" i="47"/>
  <c r="P79" i="47"/>
  <c r="KP79" i="47"/>
  <c r="JC79" i="47"/>
  <c r="FP79" i="47"/>
  <c r="BC79" i="47"/>
  <c r="DP79" i="47"/>
  <c r="JP79" i="47"/>
  <c r="FC79" i="47"/>
  <c r="R41" i="28"/>
  <c r="S41" i="28"/>
  <c r="D5" i="61"/>
  <c r="D14" i="61" s="1"/>
  <c r="CR62" i="47"/>
  <c r="LP50" i="47"/>
  <c r="LR50" i="47" s="1"/>
  <c r="MC50" i="47"/>
  <c r="MF50" i="47" s="1"/>
  <c r="JC50" i="47"/>
  <c r="JE50" i="47" s="1"/>
  <c r="DP29" i="47"/>
  <c r="DR29" i="47" s="1"/>
  <c r="EF62" i="47"/>
  <c r="DR72" i="47"/>
  <c r="ES84" i="47"/>
  <c r="CS62" i="47"/>
  <c r="LP36" i="47"/>
  <c r="LQ36" i="47" s="1"/>
  <c r="EP50" i="47"/>
  <c r="EQ50" i="47" s="1"/>
  <c r="CC50" i="47"/>
  <c r="CF50" i="47" s="1"/>
  <c r="P50" i="47"/>
  <c r="R50" i="47" s="1"/>
  <c r="P29" i="47"/>
  <c r="R29" i="47" s="1"/>
  <c r="EE62" i="47"/>
  <c r="DF20" i="47"/>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EQ84" i="47"/>
  <c r="CE62" i="47"/>
  <c r="BC50" i="47"/>
  <c r="BF50" i="47" s="1"/>
  <c r="AP50" i="47"/>
  <c r="AR50" i="47" s="1"/>
  <c r="GC50" i="47"/>
  <c r="GD50" i="47" s="1"/>
  <c r="AC29" i="47"/>
  <c r="AE29" i="47" s="1"/>
  <c r="DE20" i="47"/>
  <c r="ME72" i="47"/>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GP50" i="47"/>
  <c r="GQ50" i="47" s="1"/>
  <c r="KC50" i="47"/>
  <c r="KD50" i="47" s="1"/>
  <c r="MF20" i="47"/>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JF20" i="47"/>
  <c r="I15" i="22"/>
  <c r="E14" i="3"/>
  <c r="AW77" i="73"/>
  <c r="AW13" i="73"/>
  <c r="AW69" i="73"/>
  <c r="AW61" i="73"/>
  <c r="AW5" i="73"/>
  <c r="AW53" i="73"/>
  <c r="AW45" i="73"/>
  <c r="AW37" i="73"/>
  <c r="AW85" i="73"/>
  <c r="AW21" i="73"/>
  <c r="AW93" i="73"/>
  <c r="AW29" i="73"/>
  <c r="I68" i="28"/>
  <c r="I33" i="28"/>
  <c r="FC60" i="47"/>
  <c r="FD60" i="47" s="1"/>
  <c r="KF71" i="47"/>
  <c r="JD20" i="47"/>
  <c r="J48" i="22"/>
  <c r="E61" i="48" s="1"/>
  <c r="H26" i="3"/>
  <c r="D7" i="67"/>
  <c r="N7" i="48"/>
  <c r="AZ7" i="33" s="1"/>
  <c r="I36" i="22"/>
  <c r="D46" i="48" s="1"/>
  <c r="J59" i="22"/>
  <c r="D5" i="72"/>
  <c r="I13" i="22"/>
  <c r="E6" i="3"/>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FD20" i="47"/>
  <c r="FE20" i="47"/>
  <c r="FF20" i="47"/>
  <c r="HS20" i="47"/>
  <c r="HQ20" i="47"/>
  <c r="HR20" i="47"/>
  <c r="LD20" i="47"/>
  <c r="LE20" i="47"/>
  <c r="LF20" i="47"/>
  <c r="CS147" i="47"/>
  <c r="DF72" i="47"/>
  <c r="DE72" i="47"/>
  <c r="DD72" i="47"/>
  <c r="GD71" i="47"/>
  <c r="CD84" i="47"/>
  <c r="JF85" i="47"/>
  <c r="HS146" i="47"/>
  <c r="BN132" i="47"/>
  <c r="AR146" i="47"/>
  <c r="GQ78" i="47"/>
  <c r="LQ80" i="47"/>
  <c r="LR80" i="47"/>
  <c r="LS80" i="47"/>
  <c r="DE146" i="47"/>
  <c r="LP44" i="47"/>
  <c r="LS44" i="47" s="1"/>
  <c r="P17" i="28"/>
  <c r="Q17" i="28" s="1"/>
  <c r="GR78" i="47"/>
  <c r="HF71" i="47"/>
  <c r="JF72" i="47"/>
  <c r="JE72" i="47"/>
  <c r="FN133" i="47"/>
  <c r="AD85" i="47"/>
  <c r="HQ86" i="47"/>
  <c r="KL132" i="47"/>
  <c r="BS146" i="47"/>
  <c r="AF147" i="47"/>
  <c r="MA133" i="47"/>
  <c r="CS80" i="47"/>
  <c r="CC58" i="47"/>
  <c r="CE58" i="47" s="1"/>
  <c r="HD71" i="47"/>
  <c r="FD80" i="47"/>
  <c r="FF80" i="47"/>
  <c r="FE80" i="47"/>
  <c r="EF72" i="47"/>
  <c r="ED72" i="47"/>
  <c r="BS147" i="47"/>
  <c r="GF71" i="47"/>
  <c r="KY132" i="47"/>
  <c r="HR86" i="47"/>
  <c r="JR147" i="47"/>
  <c r="IE146" i="47"/>
  <c r="GS147" i="47"/>
  <c r="CL133" i="47"/>
  <c r="CQ80" i="47"/>
  <c r="JP58" i="47"/>
  <c r="JQ58" i="47" s="1"/>
  <c r="KD80" i="47"/>
  <c r="KE80" i="47"/>
  <c r="KF80" i="47"/>
  <c r="CF84" i="47"/>
  <c r="CA133" i="47"/>
  <c r="HF146" i="47"/>
  <c r="ES147" i="47"/>
  <c r="LP58" i="47"/>
  <c r="LR58" i="47" s="1"/>
  <c r="CP18" i="47"/>
  <c r="CQ18" i="47" s="1"/>
  <c r="DS28" i="47"/>
  <c r="LE72" i="47"/>
  <c r="LF72" i="47"/>
  <c r="LD72" i="47"/>
  <c r="HF78" i="47"/>
  <c r="HS147" i="47"/>
  <c r="DS146" i="47"/>
  <c r="KS147" i="47"/>
  <c r="JS146" i="47"/>
  <c r="GC67" i="47"/>
  <c r="GE67" i="47" s="1"/>
  <c r="JF78" i="47"/>
  <c r="JD78" i="47"/>
  <c r="JE78" i="47"/>
  <c r="FS48" i="47"/>
  <c r="FR48" i="47"/>
  <c r="FQ48" i="47"/>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CS71" i="47"/>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CC44" i="47"/>
  <c r="CD44" i="47" s="1"/>
  <c r="HC44" i="47"/>
  <c r="HF44" i="47" s="1"/>
  <c r="FC44" i="47"/>
  <c r="FF44" i="47" s="1"/>
  <c r="GP58" i="47"/>
  <c r="GR58" i="47" s="1"/>
  <c r="FP58" i="47"/>
  <c r="FS58" i="47" s="1"/>
  <c r="IP58" i="47"/>
  <c r="IQ58" i="47" s="1"/>
  <c r="P63" i="28"/>
  <c r="IP67" i="47"/>
  <c r="IR67" i="47" s="1"/>
  <c r="BC67" i="47"/>
  <c r="BF67" i="47" s="1"/>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S27" i="28"/>
  <c r="R27" i="28"/>
  <c r="Q27" i="28"/>
  <c r="P7" i="28"/>
  <c r="Q7" i="28" s="1"/>
  <c r="IE84" i="47"/>
  <c r="KC44" i="47"/>
  <c r="KF44" i="47" s="1"/>
  <c r="FP44" i="47"/>
  <c r="FQ44" i="47" s="1"/>
  <c r="LC44" i="47"/>
  <c r="LF44" i="47" s="1"/>
  <c r="HC58" i="47"/>
  <c r="HF58" i="47" s="1"/>
  <c r="AP58" i="47"/>
  <c r="AS58" i="47" s="1"/>
  <c r="DP58" i="47"/>
  <c r="DS58" i="47" s="1"/>
  <c r="P67" i="47"/>
  <c r="S67" i="47" s="1"/>
  <c r="IC67" i="47"/>
  <c r="IF67" i="47" s="1"/>
  <c r="MF71" i="47"/>
  <c r="GC44" i="47"/>
  <c r="GE44" i="47" s="1"/>
  <c r="BF62" i="47"/>
  <c r="BE62" i="47"/>
  <c r="BD62" i="47"/>
  <c r="LQ13" i="47"/>
  <c r="LR13" i="47"/>
  <c r="LS13" i="47"/>
  <c r="KR80" i="47"/>
  <c r="KQ80" i="47"/>
  <c r="KS80" i="47"/>
  <c r="AF72" i="47"/>
  <c r="AE72" i="47"/>
  <c r="AD72" i="47"/>
  <c r="GF62" i="47"/>
  <c r="GE62" i="47"/>
  <c r="GD62" i="47"/>
  <c r="LS62" i="47"/>
  <c r="LR62" i="47"/>
  <c r="LQ62" i="47"/>
  <c r="BS62" i="47"/>
  <c r="BR62" i="47"/>
  <c r="MD80" i="47"/>
  <c r="ME80" i="47"/>
  <c r="MF80" i="47"/>
  <c r="IF62" i="47"/>
  <c r="IE62" i="47"/>
  <c r="ID62" i="47"/>
  <c r="IF84" i="47"/>
  <c r="EP44" i="47"/>
  <c r="ER44" i="47" s="1"/>
  <c r="BP44" i="47"/>
  <c r="BS44" i="47" s="1"/>
  <c r="JP44" i="47"/>
  <c r="JQ44" i="47" s="1"/>
  <c r="IC58" i="47"/>
  <c r="IE58" i="47" s="1"/>
  <c r="LC58" i="47"/>
  <c r="LF58" i="47" s="1"/>
  <c r="DC58" i="47"/>
  <c r="DE58" i="47" s="1"/>
  <c r="DP67" i="47"/>
  <c r="DS67" i="47" s="1"/>
  <c r="EP67" i="47"/>
  <c r="ES67" i="47" s="1"/>
  <c r="JC67" i="47"/>
  <c r="JF67" i="47" s="1"/>
  <c r="JC44" i="47"/>
  <c r="DR28" i="47"/>
  <c r="DF80" i="47"/>
  <c r="DE80" i="47"/>
  <c r="DD80" i="47"/>
  <c r="AS72" i="47"/>
  <c r="AQ72" i="47"/>
  <c r="AR72" i="47"/>
  <c r="Q62" i="47"/>
  <c r="S62" i="47"/>
  <c r="R62" i="47"/>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GQ71" i="47"/>
  <c r="GR71" i="47"/>
  <c r="GS71" i="47"/>
  <c r="LL16" i="47"/>
  <c r="JY16" i="47"/>
  <c r="AY16" i="47"/>
  <c r="KL16" i="47"/>
  <c r="FY16" i="47"/>
  <c r="CL16" i="47"/>
  <c r="L16" i="47"/>
  <c r="GL16" i="47"/>
  <c r="GY16" i="47"/>
  <c r="EY16" i="47"/>
  <c r="BY16" i="47"/>
  <c r="AL16" i="47"/>
  <c r="EL16" i="47"/>
  <c r="DY16" i="47"/>
  <c r="BL16" i="47"/>
  <c r="HL16" i="47"/>
  <c r="FL16" i="47"/>
  <c r="Y16" i="47"/>
  <c r="CY16" i="47"/>
  <c r="IL16" i="47"/>
  <c r="DL16" i="47"/>
  <c r="IY16" i="47"/>
  <c r="CR71" i="47"/>
  <c r="HG126" i="47"/>
  <c r="P88" i="28"/>
  <c r="GC60" i="47"/>
  <c r="GF60" i="47" s="1"/>
  <c r="LR71" i="47"/>
  <c r="LQ71" i="47"/>
  <c r="LS71" i="47"/>
  <c r="L28" i="33"/>
  <c r="Q25" i="70" s="1"/>
  <c r="P14" i="28"/>
  <c r="HP60" i="47"/>
  <c r="HQ60" i="47" s="1"/>
  <c r="P60" i="47"/>
  <c r="R60" i="47" s="1"/>
  <c r="AE79" i="47"/>
  <c r="AF79" i="47"/>
  <c r="AD79" i="47"/>
  <c r="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KY16" i="47"/>
  <c r="DP60" i="47"/>
  <c r="DR60" i="47" s="1"/>
  <c r="LC60" i="47"/>
  <c r="LE60" i="47" s="1"/>
  <c r="P42" i="28"/>
  <c r="LY16" i="47"/>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FD85" i="47"/>
  <c r="HC60" i="47"/>
  <c r="HD60" i="47" s="1"/>
  <c r="IP60" i="47"/>
  <c r="IQ60" i="47" s="1"/>
  <c r="FS78" i="47"/>
  <c r="AS71" i="47"/>
  <c r="AQ71" i="47"/>
  <c r="AR71" i="47"/>
  <c r="AR78" i="47"/>
  <c r="AS78" i="47"/>
  <c r="AQ78" i="47"/>
  <c r="P22" i="28"/>
  <c r="DR71" i="47"/>
  <c r="DS71" i="47"/>
  <c r="DQ71" i="47"/>
  <c r="P8" i="28"/>
  <c r="LD78" i="47"/>
  <c r="LF78" i="47"/>
  <c r="LE78" i="47"/>
  <c r="P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P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P70" i="28"/>
  <c r="ME28" i="47"/>
  <c r="MD28" i="47"/>
  <c r="MF28" i="47"/>
  <c r="KR71" i="47"/>
  <c r="KS71" i="47"/>
  <c r="KQ71" i="47"/>
  <c r="ME78" i="47"/>
  <c r="MF78" i="47"/>
  <c r="MD78" i="47"/>
  <c r="KQ44" i="47"/>
  <c r="KS44" i="47"/>
  <c r="KR44" i="47"/>
  <c r="P28" i="28"/>
  <c r="CF28" i="47"/>
  <c r="CD28" i="47"/>
  <c r="CE28" i="47"/>
  <c r="DF71" i="47"/>
  <c r="DD71" i="47"/>
  <c r="DE71" i="47"/>
  <c r="JQ39" i="47"/>
  <c r="JS39" i="47"/>
  <c r="JR39" i="47"/>
  <c r="HF53" i="47"/>
  <c r="HE53" i="47"/>
  <c r="HD53" i="47"/>
  <c r="ES78" i="47"/>
  <c r="ER78" i="47"/>
  <c r="EQ78" i="47"/>
  <c r="FD28" i="47"/>
  <c r="FF28" i="47"/>
  <c r="FE28" i="47"/>
  <c r="KD78" i="47"/>
  <c r="KE78" i="47"/>
  <c r="KF78" i="47"/>
  <c r="HP18" i="47"/>
  <c r="IC18" i="47"/>
  <c r="IP18" i="47"/>
  <c r="EP18" i="47"/>
  <c r="FC18" i="47"/>
  <c r="LC18" i="47"/>
  <c r="KC18" i="47"/>
  <c r="AP18" i="47"/>
  <c r="GC18" i="47"/>
  <c r="DP18" i="47"/>
  <c r="MC18" i="47"/>
  <c r="KP18" i="47"/>
  <c r="CC18" i="47"/>
  <c r="EC18" i="47"/>
  <c r="LP18" i="47"/>
  <c r="HC18" i="47"/>
  <c r="P18" i="47"/>
  <c r="AC18" i="47"/>
  <c r="DC18" i="47"/>
  <c r="GP18" i="47"/>
  <c r="BP18" i="47"/>
  <c r="FP18" i="47"/>
  <c r="BC18" i="47"/>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P18" i="28"/>
  <c r="IS71" i="47"/>
  <c r="IQ71" i="47"/>
  <c r="IR71" i="47"/>
  <c r="HQ78" i="47"/>
  <c r="HS78" i="47"/>
  <c r="HR78" i="47"/>
  <c r="CE78" i="47"/>
  <c r="CF78" i="47"/>
  <c r="CD78" i="47"/>
  <c r="P44" i="28"/>
  <c r="FD71" i="47"/>
  <c r="FE71" i="47"/>
  <c r="FF71" i="47"/>
  <c r="CD29" i="47"/>
  <c r="CF29" i="47"/>
  <c r="CE29" i="47"/>
  <c r="BS78" i="47"/>
  <c r="BQ78" i="47"/>
  <c r="BR78" i="47"/>
  <c r="FD78" i="47"/>
  <c r="FF78" i="47"/>
  <c r="FE78" i="47"/>
  <c r="Q67" i="28"/>
  <c r="R67" i="28"/>
  <c r="S67" i="28"/>
  <c r="EF84" i="47"/>
  <c r="KS78" i="47"/>
  <c r="KQ78" i="47"/>
  <c r="KR78" i="47"/>
  <c r="EE78" i="47"/>
  <c r="ED78" i="47"/>
  <c r="EF78" i="47"/>
  <c r="Q60" i="28"/>
  <c r="S60" i="28"/>
  <c r="R60" i="28"/>
  <c r="ED84" i="47"/>
  <c r="ME41" i="47"/>
  <c r="MD41" i="47"/>
  <c r="MF41" i="47"/>
  <c r="P51" i="28"/>
  <c r="BD71" i="47"/>
  <c r="BE71" i="47"/>
  <c r="BF71" i="47"/>
  <c r="AD78" i="47"/>
  <c r="AF78" i="47"/>
  <c r="AE78" i="47"/>
  <c r="DS78" i="47"/>
  <c r="DQ78" i="47"/>
  <c r="DR78" i="47"/>
  <c r="AE74" i="47"/>
  <c r="KJ52" i="47"/>
  <c r="GD48" i="47"/>
  <c r="GF48" i="47"/>
  <c r="GE48" i="47"/>
  <c r="BQ48" i="47"/>
  <c r="BS48" i="47"/>
  <c r="BR48" i="47"/>
  <c r="KR13" i="47"/>
  <c r="KS13" i="47"/>
  <c r="KQ13" i="47"/>
  <c r="AS13" i="47"/>
  <c r="AQ13" i="47"/>
  <c r="AR13" i="47"/>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P25" i="28"/>
  <c r="GP11" i="47"/>
  <c r="GQ11" i="47" s="1"/>
  <c r="GS48" i="47"/>
  <c r="GQ48" i="47"/>
  <c r="GR48" i="47"/>
  <c r="CS48" i="47"/>
  <c r="CQ48" i="47"/>
  <c r="CR48" i="47"/>
  <c r="GE13" i="47"/>
  <c r="GF13" i="47"/>
  <c r="GD13" i="47"/>
  <c r="EE13" i="47"/>
  <c r="ED13" i="47"/>
  <c r="EF13" i="47"/>
  <c r="P66" i="28"/>
  <c r="LW52" i="47"/>
  <c r="P30" i="28"/>
  <c r="R30" i="28" s="1"/>
  <c r="IS48" i="47"/>
  <c r="IQ48" i="47"/>
  <c r="IR48" i="47"/>
  <c r="AQ48" i="47"/>
  <c r="AR48" i="47"/>
  <c r="AS48" i="47"/>
  <c r="ID13" i="47"/>
  <c r="IF13" i="47"/>
  <c r="IE13" i="47"/>
  <c r="JQ18" i="47"/>
  <c r="JR18" i="47"/>
  <c r="JS18" i="47"/>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ES48" i="47"/>
  <c r="ER48" i="47"/>
  <c r="EQ48" i="47"/>
  <c r="DF48" i="47"/>
  <c r="DD48" i="47"/>
  <c r="DE48" i="47"/>
  <c r="KQ15" i="47"/>
  <c r="KS15" i="47"/>
  <c r="KR15" i="47"/>
  <c r="BF13" i="47"/>
  <c r="BE13" i="47"/>
  <c r="BD13" i="47"/>
  <c r="CR50" i="47"/>
  <c r="CS50" i="47"/>
  <c r="CQ50" i="47"/>
  <c r="P45" i="28"/>
  <c r="JE48" i="47"/>
  <c r="JD48" i="47"/>
  <c r="JF48" i="47"/>
  <c r="BE48" i="47"/>
  <c r="BD48" i="47"/>
  <c r="BF48" i="47"/>
  <c r="HD15" i="47"/>
  <c r="HE15" i="47"/>
  <c r="HF15" i="47"/>
  <c r="GS13" i="47"/>
  <c r="GR13" i="47"/>
  <c r="GQ13" i="47"/>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KQ48" i="47"/>
  <c r="KR48" i="47"/>
  <c r="KS48" i="47"/>
  <c r="HE48" i="47"/>
  <c r="HF48" i="47"/>
  <c r="HD48" i="47"/>
  <c r="IQ15" i="47"/>
  <c r="IS15" i="47"/>
  <c r="IR15" i="47"/>
  <c r="JE13" i="47"/>
  <c r="JF13" i="47"/>
  <c r="JD13" i="47"/>
  <c r="S52" i="28"/>
  <c r="R52" i="28"/>
  <c r="Q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P37" i="28"/>
  <c r="JC58" i="47"/>
  <c r="MC58" i="47"/>
  <c r="P58" i="47"/>
  <c r="DF13" i="47"/>
  <c r="DD13" i="47"/>
  <c r="DE13" i="47"/>
  <c r="AD74" i="47"/>
  <c r="LQ74" i="47"/>
  <c r="LT117" i="47"/>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P32" i="28"/>
  <c r="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P58" i="28"/>
  <c r="C28" i="47"/>
  <c r="C28" i="28"/>
  <c r="DS84" i="47"/>
  <c r="DR84" i="47"/>
  <c r="JE86" i="47"/>
  <c r="JD86" i="47"/>
  <c r="HS11" i="47"/>
  <c r="HR11" i="47"/>
  <c r="HQ11" i="47"/>
  <c r="Q86" i="47"/>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P81" i="28"/>
  <c r="FD74" i="47"/>
  <c r="FF74" i="47"/>
  <c r="FE74" i="47"/>
  <c r="KE74" i="47"/>
  <c r="KF74" i="47"/>
  <c r="KD74" i="47"/>
  <c r="HR74" i="47"/>
  <c r="HS74" i="47"/>
  <c r="HQ74" i="47"/>
  <c r="P23" i="28"/>
  <c r="P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P69" i="28"/>
  <c r="P57" i="28"/>
  <c r="P43" i="28"/>
  <c r="LD74" i="47"/>
  <c r="LF74" i="47"/>
  <c r="LE74" i="47"/>
  <c r="IC11" i="47"/>
  <c r="FC11" i="47"/>
  <c r="KR16" i="47"/>
  <c r="KQ16" i="47"/>
  <c r="KS16" i="47"/>
  <c r="CD77" i="47"/>
  <c r="CE77" i="47"/>
  <c r="CF77" i="47"/>
  <c r="P73" i="28"/>
  <c r="P49" i="28"/>
  <c r="ES74" i="47"/>
  <c r="ER74" i="47"/>
  <c r="EQ74" i="47"/>
  <c r="MF74" i="47"/>
  <c r="ME74" i="47"/>
  <c r="MD74" i="47"/>
  <c r="IS74" i="47"/>
  <c r="IQ74" i="47"/>
  <c r="IR74" i="47"/>
  <c r="R85" i="47"/>
  <c r="EP11" i="47"/>
  <c r="JP11" i="47"/>
  <c r="FQ15" i="47"/>
  <c r="FR15" i="47"/>
  <c r="FS15" i="47"/>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S85" i="47"/>
  <c r="S86" i="47"/>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P36" i="28"/>
  <c r="BD74" i="47"/>
  <c r="BE74" i="47"/>
  <c r="BF74" i="47"/>
  <c r="BQ74" i="47"/>
  <c r="BS74" i="47"/>
  <c r="BR74" i="47"/>
  <c r="AR74" i="47"/>
  <c r="AS74" i="47"/>
  <c r="AQ74" i="47"/>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P7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HQ15" i="47"/>
  <c r="HS15" i="47"/>
  <c r="HR15" i="47"/>
  <c r="LE15" i="47"/>
  <c r="LF15" i="47"/>
  <c r="LD15" i="47"/>
  <c r="AS77" i="47"/>
  <c r="AR77" i="47"/>
  <c r="AQ77" i="47"/>
  <c r="KD77" i="47"/>
  <c r="KE77" i="47"/>
  <c r="KF77" i="47"/>
  <c r="DT118" i="47"/>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CD15" i="47"/>
  <c r="CE15" i="47"/>
  <c r="CF15" i="47"/>
  <c r="GE15" i="47"/>
  <c r="GD15" i="47"/>
  <c r="GF15" i="47"/>
  <c r="BS77" i="47"/>
  <c r="BR77" i="47"/>
  <c r="BQ77" i="47"/>
  <c r="DQ77" i="47"/>
  <c r="DS77" i="47"/>
  <c r="DR77" i="47"/>
  <c r="FF77" i="47"/>
  <c r="FE77" i="47"/>
  <c r="FD77" i="47"/>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P16" i="28"/>
  <c r="AE15" i="47"/>
  <c r="AF15" i="47"/>
  <c r="AD15" i="47"/>
  <c r="LQ15" i="47"/>
  <c r="LS15" i="47"/>
  <c r="LR15" i="47"/>
  <c r="JD77" i="47"/>
  <c r="JE77" i="47"/>
  <c r="JF77" i="47"/>
  <c r="MD77" i="47"/>
  <c r="ME77" i="47"/>
  <c r="MF77" i="47"/>
  <c r="AD77" i="47"/>
  <c r="AE77" i="47"/>
  <c r="AF77" i="47"/>
  <c r="KF15" i="47"/>
  <c r="KE15" i="47"/>
  <c r="KD15" i="47"/>
  <c r="FS77" i="47"/>
  <c r="FR77" i="47"/>
  <c r="FQ77" i="47"/>
  <c r="P15" i="28"/>
  <c r="KT119" i="47"/>
  <c r="T116" i="47"/>
  <c r="AG117" i="47"/>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P77" i="28"/>
  <c r="JR15" i="47"/>
  <c r="JQ15" i="47"/>
  <c r="JS15" i="47"/>
  <c r="BS15" i="47"/>
  <c r="BQ15" i="47"/>
  <c r="BR15" i="47"/>
  <c r="ED77" i="47"/>
  <c r="EE77" i="47"/>
  <c r="EF77" i="47"/>
  <c r="KS77" i="47"/>
  <c r="KQ77" i="47"/>
  <c r="KR77" i="47"/>
  <c r="GE77" i="47"/>
  <c r="GD77" i="47"/>
  <c r="GF77" i="47"/>
  <c r="BF77" i="47"/>
  <c r="BE77" i="47"/>
  <c r="BD77" i="47"/>
  <c r="HR147" i="47"/>
  <c r="CT119" i="47"/>
  <c r="LT119" i="47"/>
  <c r="DT119" i="47"/>
  <c r="MD88" i="47"/>
  <c r="P85" i="28"/>
  <c r="Q85" i="28" s="1"/>
  <c r="DD85" i="47"/>
  <c r="LY69" i="47"/>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FD15" i="47"/>
  <c r="FE15" i="47"/>
  <c r="FF15" i="47"/>
  <c r="ED15" i="47"/>
  <c r="EF15" i="47"/>
  <c r="EE15" i="47"/>
  <c r="ME15" i="47"/>
  <c r="MF15" i="47"/>
  <c r="MD15" i="47"/>
  <c r="JR77" i="47"/>
  <c r="JQ77" i="47"/>
  <c r="JS77" i="47"/>
  <c r="HF77" i="47"/>
  <c r="HE77" i="47"/>
  <c r="HD77" i="47"/>
  <c r="ID77" i="47"/>
  <c r="IF77" i="47"/>
  <c r="IE77" i="47"/>
  <c r="P11" i="28"/>
  <c r="DS15" i="47"/>
  <c r="DQ15" i="47"/>
  <c r="DR15" i="47"/>
  <c r="P83" i="28"/>
  <c r="R83" i="28" s="1"/>
  <c r="ER146" i="47"/>
  <c r="JE147" i="47"/>
  <c r="CE147" i="47"/>
  <c r="EN133" i="47"/>
  <c r="DN133" i="47"/>
  <c r="CR147" i="47"/>
  <c r="GY133" i="47"/>
  <c r="KA133" i="47"/>
  <c r="HL69" i="47"/>
  <c r="HT119" i="47"/>
  <c r="BT117" i="47"/>
  <c r="EG117" i="47"/>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R34" i="28"/>
  <c r="Q34" i="28"/>
  <c r="S34" i="28"/>
  <c r="AR15" i="47"/>
  <c r="AQ15" i="47"/>
  <c r="AS15" i="47"/>
  <c r="JF15" i="47"/>
  <c r="JE15" i="47"/>
  <c r="JD15" i="47"/>
  <c r="BF15" i="47"/>
  <c r="BD15" i="47"/>
  <c r="BE15" i="47"/>
  <c r="CQ77" i="47"/>
  <c r="CS77" i="47"/>
  <c r="CR77" i="47"/>
  <c r="ER77" i="47"/>
  <c r="ES77" i="47"/>
  <c r="EQ77" i="47"/>
  <c r="P10" i="28"/>
  <c r="P6" i="28"/>
  <c r="P9" i="28"/>
  <c r="DT116" i="47"/>
  <c r="KG119" i="47"/>
  <c r="ET119" i="47"/>
  <c r="GT118" i="47"/>
  <c r="BT119" i="47"/>
  <c r="HT116" i="47"/>
  <c r="CT118" i="47"/>
  <c r="DT117" i="47"/>
  <c r="EG119" i="47"/>
  <c r="JT117" i="47"/>
  <c r="DG118" i="47"/>
  <c r="IG117" i="47"/>
  <c r="FS86" i="47"/>
  <c r="E57" i="33"/>
  <c r="KW52" i="47"/>
  <c r="AC23" i="33"/>
  <c r="P24" i="66" s="1"/>
  <c r="IG118" i="47"/>
  <c r="MG116" i="47"/>
  <c r="AG118" i="47"/>
  <c r="DG117" i="47"/>
  <c r="HT117" i="47"/>
  <c r="GG118" i="47"/>
  <c r="CG118" i="47"/>
  <c r="CG116" i="47"/>
  <c r="IG119" i="47"/>
  <c r="AT117" i="47"/>
  <c r="FR86" i="47"/>
  <c r="E59" i="33"/>
  <c r="FG116" i="47"/>
  <c r="JG119" i="47"/>
  <c r="ET118" i="47"/>
  <c r="IT116" i="47"/>
  <c r="IT118" i="47"/>
  <c r="IG116" i="47"/>
  <c r="JT119" i="47"/>
  <c r="LT116" i="47"/>
  <c r="KG118" i="47"/>
  <c r="GT119" i="47"/>
  <c r="LG116" i="47"/>
  <c r="BG119" i="47"/>
  <c r="E64" i="33"/>
  <c r="G48" i="33" s="1"/>
  <c r="H48" i="33" s="1"/>
  <c r="IT117" i="47"/>
  <c r="P87" i="28"/>
  <c r="LG118" i="47"/>
  <c r="KT118" i="47"/>
  <c r="GT117" i="47"/>
  <c r="AG119" i="47"/>
  <c r="LG119" i="47"/>
  <c r="GT116" i="47"/>
  <c r="JG116" i="47"/>
  <c r="KT117" i="47"/>
  <c r="BT118" i="47"/>
  <c r="LT118" i="47"/>
  <c r="ET117" i="47"/>
  <c r="DG116" i="47"/>
  <c r="EJ52" i="47"/>
  <c r="HG117" i="47"/>
  <c r="KT116" i="47"/>
  <c r="DG119" i="47"/>
  <c r="AT118" i="47"/>
  <c r="JG118" i="47"/>
  <c r="HG119" i="47"/>
  <c r="IT119" i="47"/>
  <c r="GG117" i="47"/>
  <c r="MG117" i="47"/>
  <c r="BG118" i="47"/>
  <c r="MG119" i="47"/>
  <c r="P86" i="28"/>
  <c r="R86" i="28" s="1"/>
  <c r="IW52" i="47"/>
  <c r="Q5" i="71"/>
  <c r="GG119" i="47"/>
  <c r="T117" i="47"/>
  <c r="FT116" i="47"/>
  <c r="GG116" i="47"/>
  <c r="CT117" i="47"/>
  <c r="JT118" i="47"/>
  <c r="AT116" i="47"/>
  <c r="HG118" i="47"/>
  <c r="FT118" i="47"/>
  <c r="EG118" i="47"/>
  <c r="CG117" i="47"/>
  <c r="BT116" i="47"/>
  <c r="MF88" i="47"/>
  <c r="LJ52" i="47"/>
  <c r="FW52" i="47"/>
  <c r="LG117" i="47"/>
  <c r="FT119" i="47"/>
  <c r="FT117" i="47"/>
  <c r="HT118" i="47"/>
  <c r="BG117" i="47"/>
  <c r="T118" i="47"/>
  <c r="CG119" i="47"/>
  <c r="AG116" i="47"/>
  <c r="KG116" i="47"/>
  <c r="HG116" i="47"/>
  <c r="EG116" i="47"/>
  <c r="FG119" i="47"/>
  <c r="T119" i="47"/>
  <c r="C52"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FJ52" i="47"/>
  <c r="BW52" i="47"/>
  <c r="EW52" i="47"/>
  <c r="AJ52" i="47"/>
  <c r="GW52" i="47"/>
  <c r="CW52" i="47"/>
  <c r="BJ52" i="47"/>
  <c r="IJ52" i="47"/>
  <c r="DW52" i="47"/>
  <c r="W52" i="47"/>
  <c r="JW52" i="47"/>
  <c r="GJ52" i="47"/>
  <c r="CJ52" i="47"/>
  <c r="DJ52" i="47"/>
  <c r="J52" i="47"/>
  <c r="AW52" i="47"/>
  <c r="HW52" i="47"/>
  <c r="HJ52" i="47"/>
  <c r="X28" i="33"/>
  <c r="Q25" i="65" s="1"/>
  <c r="E47" i="48"/>
  <c r="LP87" i="47"/>
  <c r="LQ87" i="47" s="1"/>
  <c r="E90" i="48"/>
  <c r="AC33" i="33"/>
  <c r="P26" i="66" s="1"/>
  <c r="D88" i="48"/>
  <c r="EP87" i="47"/>
  <c r="EQ87" i="47" s="1"/>
  <c r="AA38" i="33"/>
  <c r="Q27" i="69" s="1"/>
  <c r="E80" i="48"/>
  <c r="D62" i="48"/>
  <c r="C28" i="33"/>
  <c r="Q25" i="61" s="1"/>
  <c r="H18" i="33"/>
  <c r="P23" i="63" s="1"/>
  <c r="U38" i="33"/>
  <c r="Q27" i="64" s="1"/>
  <c r="E82" i="48"/>
  <c r="AA23" i="33"/>
  <c r="Q24" i="69" s="1"/>
  <c r="E53" i="48"/>
  <c r="MC87" i="47"/>
  <c r="MF87" i="47" s="1"/>
  <c r="R28" i="33"/>
  <c r="Q25" i="71" s="1"/>
  <c r="P84" i="28"/>
  <c r="GP87" i="47"/>
  <c r="GR87" i="47" s="1"/>
  <c r="KP87" i="47"/>
  <c r="KR87" i="47" s="1"/>
  <c r="AC47" i="33"/>
  <c r="AC49" i="33"/>
  <c r="AC48" i="33"/>
  <c r="AC54" i="33"/>
  <c r="AD54" i="33"/>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AI47"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I45" i="48" l="1"/>
  <c r="Q21" i="33"/>
  <c r="I12" i="28"/>
  <c r="E36" i="33"/>
  <c r="I66" i="48"/>
  <c r="W31" i="33"/>
  <c r="I81" i="48"/>
  <c r="I80" i="48"/>
  <c r="Z36" i="33"/>
  <c r="I5" i="28"/>
  <c r="BV33" i="47"/>
  <c r="EI33" i="47"/>
  <c r="AV33" i="47"/>
  <c r="HI33" i="47"/>
  <c r="JI33" i="47"/>
  <c r="JV33" i="47"/>
  <c r="DI33" i="47"/>
  <c r="V33" i="47"/>
  <c r="DV33" i="47"/>
  <c r="AI33" i="47"/>
  <c r="BI33" i="47"/>
  <c r="FI33" i="47"/>
  <c r="LV33" i="47"/>
  <c r="I33" i="47"/>
  <c r="CI33" i="47"/>
  <c r="GI33" i="47"/>
  <c r="KI33" i="47"/>
  <c r="KV33" i="47"/>
  <c r="EV33" i="47"/>
  <c r="LI33" i="47"/>
  <c r="FV33" i="47"/>
  <c r="GV33" i="47"/>
  <c r="IV33" i="47"/>
  <c r="HV33" i="47"/>
  <c r="II33" i="47"/>
  <c r="CV33" i="47"/>
  <c r="I54" i="28"/>
  <c r="AV123" i="47"/>
  <c r="JV123" i="47"/>
  <c r="FV123" i="47"/>
  <c r="BI123" i="47"/>
  <c r="II123" i="47"/>
  <c r="EI123" i="47"/>
  <c r="DV123" i="47"/>
  <c r="KI123" i="47"/>
  <c r="BV123" i="47"/>
  <c r="I123" i="47"/>
  <c r="HI123" i="47"/>
  <c r="CV123" i="47"/>
  <c r="JI123" i="47"/>
  <c r="EV123" i="47"/>
  <c r="GI123" i="47"/>
  <c r="GV123" i="47"/>
  <c r="IV123" i="47"/>
  <c r="HV123" i="47"/>
  <c r="LV123" i="47"/>
  <c r="AI123" i="47"/>
  <c r="LI123" i="47"/>
  <c r="FI123" i="47"/>
  <c r="DI123" i="47"/>
  <c r="V123" i="47"/>
  <c r="KV123" i="47"/>
  <c r="CI123" i="47"/>
  <c r="CI115" i="47"/>
  <c r="HV115" i="47"/>
  <c r="JI115" i="47"/>
  <c r="DI115" i="47"/>
  <c r="GV115" i="47"/>
  <c r="EV115" i="47"/>
  <c r="LV115" i="47"/>
  <c r="EI115" i="47"/>
  <c r="IV115" i="47"/>
  <c r="BV115" i="47"/>
  <c r="GI115" i="47"/>
  <c r="KV115" i="47"/>
  <c r="BI115" i="47"/>
  <c r="AI115" i="47"/>
  <c r="I115" i="47"/>
  <c r="JV115" i="47"/>
  <c r="DV115" i="47"/>
  <c r="FI115" i="47"/>
  <c r="II115" i="47"/>
  <c r="HI115" i="47"/>
  <c r="V115" i="47"/>
  <c r="LI115" i="47"/>
  <c r="CV115" i="47"/>
  <c r="AV115" i="47"/>
  <c r="FV115" i="47"/>
  <c r="KI115" i="47"/>
  <c r="I55" i="48"/>
  <c r="AC21" i="33"/>
  <c r="I70" i="48"/>
  <c r="B36" i="33"/>
  <c r="I61" i="28"/>
  <c r="I125" i="28"/>
  <c r="I115" i="28"/>
  <c r="I35" i="48"/>
  <c r="B21" i="33"/>
  <c r="I75" i="28"/>
  <c r="I30" i="48"/>
  <c r="AF11" i="33"/>
  <c r="I19" i="28"/>
  <c r="I54" i="47"/>
  <c r="EI54" i="47"/>
  <c r="JI54" i="47"/>
  <c r="CI54" i="47"/>
  <c r="FI54" i="47"/>
  <c r="EV54" i="47"/>
  <c r="JV54" i="47"/>
  <c r="GV54" i="47"/>
  <c r="DI54" i="47"/>
  <c r="KI54" i="47"/>
  <c r="V54" i="47"/>
  <c r="AV54" i="47"/>
  <c r="BI54" i="47"/>
  <c r="BV54" i="47"/>
  <c r="DV54" i="47"/>
  <c r="II54" i="47"/>
  <c r="LI54" i="47"/>
  <c r="KV54" i="47"/>
  <c r="HV54" i="47"/>
  <c r="AI54" i="47"/>
  <c r="CV54" i="47"/>
  <c r="LV54" i="47"/>
  <c r="GI54" i="47"/>
  <c r="FV54" i="47"/>
  <c r="HI54" i="47"/>
  <c r="IV54" i="47"/>
  <c r="I82" i="28"/>
  <c r="BV82" i="47"/>
  <c r="V82" i="47"/>
  <c r="AI82" i="47"/>
  <c r="AV82" i="47"/>
  <c r="KV82" i="47"/>
  <c r="KI82" i="47"/>
  <c r="LV82" i="47"/>
  <c r="DI82" i="47"/>
  <c r="CV82" i="47"/>
  <c r="FV82" i="47"/>
  <c r="HV82" i="47"/>
  <c r="LI82" i="47"/>
  <c r="DV82" i="47"/>
  <c r="FI82" i="47"/>
  <c r="EI82" i="47"/>
  <c r="EV82" i="47"/>
  <c r="JI82" i="47"/>
  <c r="CI82" i="47"/>
  <c r="HI82" i="47"/>
  <c r="IV82" i="47"/>
  <c r="II82" i="47"/>
  <c r="JV82" i="47"/>
  <c r="I82" i="47"/>
  <c r="BI82" i="47"/>
  <c r="GI82" i="47"/>
  <c r="GV82" i="47"/>
  <c r="I138" i="48"/>
  <c r="F78" i="33"/>
  <c r="B11" i="33"/>
  <c r="I4" i="48"/>
  <c r="I26" i="28"/>
  <c r="I112" i="48"/>
  <c r="I48" i="48"/>
  <c r="Q26" i="33"/>
  <c r="B31" i="33"/>
  <c r="I69" i="48"/>
  <c r="I7" i="48"/>
  <c r="E11" i="33"/>
  <c r="I47" i="28"/>
  <c r="E16" i="28"/>
  <c r="JL16" i="47"/>
  <c r="Z23" i="33"/>
  <c r="P24" i="69" s="1"/>
  <c r="C64" i="28" s="1"/>
  <c r="D56" i="48"/>
  <c r="W23" i="33"/>
  <c r="P24" i="65" s="1"/>
  <c r="C57" i="47" s="1"/>
  <c r="D50" i="48"/>
  <c r="I23" i="33"/>
  <c r="Q24" i="63" s="1"/>
  <c r="E41" i="48"/>
  <c r="P124" i="47"/>
  <c r="P126" i="47"/>
  <c r="O108" i="47"/>
  <c r="O107" i="47"/>
  <c r="D65" i="48"/>
  <c r="D84" i="48"/>
  <c r="E17" i="48"/>
  <c r="D38" i="48"/>
  <c r="D41" i="48"/>
  <c r="D81" i="48"/>
  <c r="N9" i="48"/>
  <c r="AZ9" i="33" s="1"/>
  <c r="AI38" i="33"/>
  <c r="P27" i="67" s="1"/>
  <c r="D87" i="48"/>
  <c r="R23" i="33"/>
  <c r="Q24" i="71" s="1"/>
  <c r="E45" i="48"/>
  <c r="E18" i="33"/>
  <c r="P23" i="62" s="1"/>
  <c r="D10" i="48"/>
  <c r="L23" i="33"/>
  <c r="Q24" i="70" s="1"/>
  <c r="E40" i="48"/>
  <c r="KC126" i="47"/>
  <c r="KC124" i="47"/>
  <c r="KB108" i="47"/>
  <c r="KB107" i="47"/>
  <c r="U18" i="33"/>
  <c r="Q23" i="64" s="1"/>
  <c r="E49" i="47" s="1"/>
  <c r="E23" i="48"/>
  <c r="AG13" i="33"/>
  <c r="Q22" i="68" s="1"/>
  <c r="E30" i="48"/>
  <c r="Q23" i="33"/>
  <c r="P24" i="71" s="1"/>
  <c r="D45" i="48"/>
  <c r="T18" i="33"/>
  <c r="P23" i="64" s="1"/>
  <c r="D23" i="48"/>
  <c r="F18" i="33"/>
  <c r="Q23" i="62" s="1"/>
  <c r="E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P130" i="28"/>
  <c r="HR67" i="47"/>
  <c r="HS67" i="47"/>
  <c r="C54" i="33"/>
  <c r="Q64" i="28"/>
  <c r="S64" i="28"/>
  <c r="AJ54" i="33"/>
  <c r="AI48" i="33"/>
  <c r="AI54" i="33"/>
  <c r="K54" i="33"/>
  <c r="K47" i="33"/>
  <c r="L54" i="33"/>
  <c r="K48" i="33"/>
  <c r="Q79" i="28"/>
  <c r="R79" i="28"/>
  <c r="B48" i="33"/>
  <c r="B54" i="33"/>
  <c r="B47" i="33"/>
  <c r="AD76" i="47"/>
  <c r="LF46" i="47"/>
  <c r="LD46" i="47"/>
  <c r="AE76" i="47"/>
  <c r="E81" i="48"/>
  <c r="E91" i="48"/>
  <c r="S29" i="28"/>
  <c r="D15" i="48"/>
  <c r="R18" i="33"/>
  <c r="Q23" i="71" s="1"/>
  <c r="E42" i="28" s="1"/>
  <c r="Q29" i="28"/>
  <c r="B9" i="3"/>
  <c r="J5" i="22"/>
  <c r="E5" i="48" s="1"/>
  <c r="I28" i="22"/>
  <c r="B23" i="33" s="1"/>
  <c r="P24" i="61" s="1"/>
  <c r="Q8" i="61"/>
  <c r="I56" i="22"/>
  <c r="B33" i="33" s="1"/>
  <c r="P26" i="61" s="1"/>
  <c r="T26" i="61" s="1"/>
  <c r="K28" i="33"/>
  <c r="P25" i="70" s="1"/>
  <c r="C30" i="47" s="1"/>
  <c r="D17" i="72"/>
  <c r="E15" i="48"/>
  <c r="IQ76" i="47"/>
  <c r="E66" i="48"/>
  <c r="D73" i="48"/>
  <c r="U13" i="33"/>
  <c r="Q22" i="64" s="1"/>
  <c r="E48" i="47" s="1"/>
  <c r="CQ44" i="47"/>
  <c r="D80" i="48"/>
  <c r="HR76" i="47"/>
  <c r="FD76" i="47"/>
  <c r="D16" i="62"/>
  <c r="Q7" i="63"/>
  <c r="Q80" i="28"/>
  <c r="S80" i="28"/>
  <c r="FS53" i="47"/>
  <c r="Q8" i="71"/>
  <c r="D11" i="48"/>
  <c r="D8" i="48"/>
  <c r="D69" i="48"/>
  <c r="O13" i="33"/>
  <c r="Q22" i="72" s="1"/>
  <c r="E34" i="28" s="1"/>
  <c r="Q38" i="33"/>
  <c r="P27" i="71" s="1"/>
  <c r="T27" i="71" s="1"/>
  <c r="ME76" i="47"/>
  <c r="D52" i="48"/>
  <c r="IE79" i="47"/>
  <c r="E38" i="48"/>
  <c r="ID79" i="47"/>
  <c r="D76" i="48"/>
  <c r="D90" i="48"/>
  <c r="D14" i="64"/>
  <c r="D21" i="48"/>
  <c r="E68" i="48"/>
  <c r="Q8" i="70"/>
  <c r="H23" i="33"/>
  <c r="P24" i="63" s="1"/>
  <c r="D17" i="63"/>
  <c r="X38" i="33"/>
  <c r="Q27" i="65" s="1"/>
  <c r="E60" i="47" s="1"/>
  <c r="Q6" i="64"/>
  <c r="E65" i="48"/>
  <c r="D16" i="61"/>
  <c r="S71" i="28"/>
  <c r="Q71" i="28"/>
  <c r="D16" i="28"/>
  <c r="L16" i="28"/>
  <c r="IS76" i="47"/>
  <c r="FE76" i="47"/>
  <c r="IE76" i="47"/>
  <c r="FR76" i="47"/>
  <c r="ID76" i="47"/>
  <c r="FQ76" i="47"/>
  <c r="CS70" i="47"/>
  <c r="GD76" i="47"/>
  <c r="S53" i="28"/>
  <c r="GE76" i="47"/>
  <c r="KR76" i="47"/>
  <c r="Q53" i="28"/>
  <c r="KS76" i="47"/>
  <c r="R17" i="28"/>
  <c r="HS76" i="47"/>
  <c r="FR53" i="47"/>
  <c r="MF79" i="47"/>
  <c r="ID70" i="47"/>
  <c r="LS70" i="47"/>
  <c r="LE76" i="47"/>
  <c r="LF76" i="47"/>
  <c r="GR79" i="47"/>
  <c r="JC117" i="47"/>
  <c r="JF117" i="47" s="1"/>
  <c r="E28" i="33"/>
  <c r="P25" i="62" s="1"/>
  <c r="C16" i="28" s="1"/>
  <c r="Q70" i="47"/>
  <c r="AF53" i="47"/>
  <c r="DP119" i="47"/>
  <c r="DQ119" i="47" s="1"/>
  <c r="DR119" i="47" s="1"/>
  <c r="AC118" i="47"/>
  <c r="AF118" i="47" s="1"/>
  <c r="FC117" i="47"/>
  <c r="FF117" i="47" s="1"/>
  <c r="EP118" i="47"/>
  <c r="EQ118" i="47" s="1"/>
  <c r="ER118" i="47" s="1"/>
  <c r="LC117" i="47"/>
  <c r="LF117" i="47" s="1"/>
  <c r="IC117" i="47"/>
  <c r="ID117" i="47" s="1"/>
  <c r="IE117" i="47" s="1"/>
  <c r="AP116" i="47"/>
  <c r="AS116" i="47" s="1"/>
  <c r="CF83" i="47"/>
  <c r="D69" i="28"/>
  <c r="BF44" i="47"/>
  <c r="LQ44" i="47"/>
  <c r="ER58" i="47"/>
  <c r="EF39" i="47"/>
  <c r="S17" i="28"/>
  <c r="K23" i="33"/>
  <c r="P24" i="70" s="1"/>
  <c r="C29" i="28" s="1"/>
  <c r="GQ44" i="47"/>
  <c r="B70" i="28"/>
  <c r="B70" i="47"/>
  <c r="II70" i="47" s="1"/>
  <c r="B52" i="47"/>
  <c r="LV52" i="47" s="1"/>
  <c r="D69" i="47"/>
  <c r="HX69" i="47" s="1"/>
  <c r="D41" i="28"/>
  <c r="E63" i="48"/>
  <c r="R33" i="33"/>
  <c r="Q26" i="71" s="1"/>
  <c r="Z26" i="71" s="1"/>
  <c r="D16" i="47"/>
  <c r="KX16" i="47" s="1"/>
  <c r="HE79" i="47"/>
  <c r="D41" i="47"/>
  <c r="LK41" i="47" s="1"/>
  <c r="KF50" i="47"/>
  <c r="D74" i="48"/>
  <c r="MD39" i="47"/>
  <c r="EQ53" i="47"/>
  <c r="D20" i="48"/>
  <c r="W38" i="33"/>
  <c r="P27" i="65" s="1"/>
  <c r="C60" i="47" s="1"/>
  <c r="Q13" i="33"/>
  <c r="P22" i="71" s="1"/>
  <c r="Z28" i="71" s="1"/>
  <c r="ES50" i="47"/>
  <c r="BQ44" i="47"/>
  <c r="ER53" i="47"/>
  <c r="H33" i="33"/>
  <c r="P26" i="63" s="1"/>
  <c r="C24" i="28" s="1"/>
  <c r="Q13" i="28"/>
  <c r="IE53" i="47"/>
  <c r="DQ29" i="47"/>
  <c r="LF70" i="47"/>
  <c r="S20" i="28"/>
  <c r="CE83" i="47"/>
  <c r="H28" i="33"/>
  <c r="P25" i="63" s="1"/>
  <c r="C23" i="28" s="1"/>
  <c r="Q8" i="69"/>
  <c r="D77" i="48"/>
  <c r="S30" i="28"/>
  <c r="AS76" i="47"/>
  <c r="HD79" i="47"/>
  <c r="D72" i="48"/>
  <c r="AQ76" i="47"/>
  <c r="EE76" i="47"/>
  <c r="D16" i="69"/>
  <c r="CR79" i="47"/>
  <c r="D89" i="48"/>
  <c r="D15" i="66"/>
  <c r="ED76" i="47"/>
  <c r="CS79" i="47"/>
  <c r="E67" i="48"/>
  <c r="KR70" i="47"/>
  <c r="D16" i="65"/>
  <c r="BQ53" i="47"/>
  <c r="KS70" i="47"/>
  <c r="R70" i="47"/>
  <c r="ME50" i="47"/>
  <c r="C38" i="33"/>
  <c r="Q27" i="61" s="1"/>
  <c r="E11" i="47" s="1"/>
  <c r="LR79" i="47"/>
  <c r="D79" i="48"/>
  <c r="LS79" i="47"/>
  <c r="GR11" i="47"/>
  <c r="D5" i="48"/>
  <c r="Q29" i="47"/>
  <c r="CD58" i="47"/>
  <c r="JD67" i="47"/>
  <c r="S29" i="47"/>
  <c r="E83" i="48"/>
  <c r="CF58" i="47"/>
  <c r="GF58" i="47"/>
  <c r="KD76" i="47"/>
  <c r="KE76" i="47"/>
  <c r="JF50" i="47"/>
  <c r="D48" i="48"/>
  <c r="E75" i="48"/>
  <c r="D13" i="48"/>
  <c r="D4" i="48"/>
  <c r="JD50" i="47"/>
  <c r="Q24" i="28"/>
  <c r="R24" i="28"/>
  <c r="MF76" i="47"/>
  <c r="IF53" i="47"/>
  <c r="S13" i="28"/>
  <c r="DS70" i="47"/>
  <c r="AC28" i="33"/>
  <c r="P25" i="66" s="1"/>
  <c r="Z25" i="66" s="1"/>
  <c r="IQ53" i="47"/>
  <c r="MF67" i="47"/>
  <c r="IS53" i="47"/>
  <c r="Q62" i="28"/>
  <c r="E21" i="48"/>
  <c r="JQ53" i="47"/>
  <c r="E13" i="48"/>
  <c r="JR53" i="47"/>
  <c r="Q6" i="71"/>
  <c r="JF39" i="47"/>
  <c r="S87" i="47"/>
  <c r="Q87" i="47"/>
  <c r="BD44" i="47"/>
  <c r="KE50" i="47"/>
  <c r="HD58" i="47"/>
  <c r="ER70" i="47"/>
  <c r="ED50" i="47"/>
  <c r="IR58" i="47"/>
  <c r="ES44" i="47"/>
  <c r="JS58" i="47"/>
  <c r="EQ67" i="47"/>
  <c r="AD70" i="47"/>
  <c r="GD58" i="47"/>
  <c r="LD70" i="47"/>
  <c r="BR44" i="47"/>
  <c r="BC118" i="47"/>
  <c r="BF118" i="47" s="1"/>
  <c r="BC117" i="47"/>
  <c r="BD117" i="47" s="1"/>
  <c r="BE117" i="47" s="1"/>
  <c r="BR70" i="47"/>
  <c r="BB141" i="47"/>
  <c r="HS60" i="47"/>
  <c r="BS70" i="47"/>
  <c r="E42" i="48"/>
  <c r="Q20" i="28"/>
  <c r="BP116" i="47"/>
  <c r="BS116" i="47" s="1"/>
  <c r="IC119" i="47"/>
  <c r="IF119" i="47" s="1"/>
  <c r="LC119" i="47"/>
  <c r="LD119" i="47" s="1"/>
  <c r="LE119" i="47" s="1"/>
  <c r="JP117" i="47"/>
  <c r="JS117" i="47" s="1"/>
  <c r="GS79" i="47"/>
  <c r="IF70" i="47"/>
  <c r="CQ70" i="47"/>
  <c r="GS11" i="47"/>
  <c r="BR50" i="47"/>
  <c r="MD79" i="47"/>
  <c r="LQ70" i="47"/>
  <c r="HE70" i="47"/>
  <c r="E70" i="48"/>
  <c r="BQ50" i="47"/>
  <c r="HD70" i="47"/>
  <c r="DQ50" i="47"/>
  <c r="Q5" i="62"/>
  <c r="HR70" i="47"/>
  <c r="HQ70" i="47"/>
  <c r="ME67" i="47"/>
  <c r="GQ53" i="47"/>
  <c r="JD39" i="47"/>
  <c r="R62" i="28"/>
  <c r="ME39" i="47"/>
  <c r="D15" i="69"/>
  <c r="MB143" i="47"/>
  <c r="Q6" i="70"/>
  <c r="MF53" i="47"/>
  <c r="ME53" i="47"/>
  <c r="GD67" i="47"/>
  <c r="LR39" i="47"/>
  <c r="HQ79" i="47"/>
  <c r="HR79" i="47"/>
  <c r="E11" i="48"/>
  <c r="LS39" i="47"/>
  <c r="D82" i="48"/>
  <c r="GS53" i="47"/>
  <c r="CE50" i="47"/>
  <c r="AE70" i="47"/>
  <c r="EQ70" i="47"/>
  <c r="JS70" i="47"/>
  <c r="AJ38" i="33"/>
  <c r="Q27" i="67" s="1"/>
  <c r="E88" i="47" s="1"/>
  <c r="AD58" i="47"/>
  <c r="DR67" i="47"/>
  <c r="JR70" i="47"/>
  <c r="AS53" i="47"/>
  <c r="DD70" i="47"/>
  <c r="D16" i="70"/>
  <c r="R35" i="28"/>
  <c r="DF70" i="47"/>
  <c r="Q5" i="61"/>
  <c r="IQ44" i="47"/>
  <c r="DD58" i="47"/>
  <c r="DQ70" i="47"/>
  <c r="EQ60" i="47"/>
  <c r="ER60" i="47"/>
  <c r="GD70" i="47"/>
  <c r="GF70" i="47"/>
  <c r="R67" i="47"/>
  <c r="J6" i="22"/>
  <c r="E7" i="48" s="1"/>
  <c r="B13" i="3"/>
  <c r="D6" i="62"/>
  <c r="J29" i="22"/>
  <c r="E36" i="48" s="1"/>
  <c r="I55" i="22"/>
  <c r="D66" i="48" s="1"/>
  <c r="JR50" i="47"/>
  <c r="AF58" i="47"/>
  <c r="AD53" i="47"/>
  <c r="DQ67" i="47"/>
  <c r="BF70" i="47"/>
  <c r="S21" i="28"/>
  <c r="D25" i="48"/>
  <c r="D14" i="66"/>
  <c r="DS50" i="47"/>
  <c r="ER50" i="47"/>
  <c r="LS58" i="47"/>
  <c r="IR44" i="47"/>
  <c r="LD53" i="47"/>
  <c r="DR53" i="47"/>
  <c r="DS29" i="47"/>
  <c r="Q21" i="28"/>
  <c r="LQ58" i="47"/>
  <c r="LE53" i="47"/>
  <c r="KR67" i="47"/>
  <c r="DQ53" i="47"/>
  <c r="CD67" i="47"/>
  <c r="E31" i="48"/>
  <c r="KQ67" i="47"/>
  <c r="CF67" i="47"/>
  <c r="Q6" i="65"/>
  <c r="GF50" i="47"/>
  <c r="GQ58" i="47"/>
  <c r="IS70" i="47"/>
  <c r="IF83" i="47"/>
  <c r="E25" i="48"/>
  <c r="GE50" i="47"/>
  <c r="GS58" i="47"/>
  <c r="JS50" i="47"/>
  <c r="IR70" i="47"/>
  <c r="BD70" i="47"/>
  <c r="Q8" i="62"/>
  <c r="AQ50" i="47"/>
  <c r="KE44" i="47"/>
  <c r="JR58" i="47"/>
  <c r="AR53" i="47"/>
  <c r="GD53" i="47"/>
  <c r="CS44" i="47"/>
  <c r="Q35" i="28"/>
  <c r="KD44" i="47"/>
  <c r="JD18" i="47"/>
  <c r="D91" i="48"/>
  <c r="JF18" i="47"/>
  <c r="KE53" i="47"/>
  <c r="E43" i="48"/>
  <c r="FE44" i="47"/>
  <c r="ID67" i="47"/>
  <c r="E58" i="48"/>
  <c r="FD44" i="47"/>
  <c r="EQ58" i="47"/>
  <c r="IE67" i="47"/>
  <c r="LS29" i="47"/>
  <c r="LR36" i="47"/>
  <c r="ID58" i="47"/>
  <c r="CD50" i="47"/>
  <c r="BR53" i="47"/>
  <c r="LD39" i="47"/>
  <c r="E89" i="48"/>
  <c r="HR50" i="47"/>
  <c r="LE39" i="47"/>
  <c r="AR44" i="47"/>
  <c r="HS50" i="47"/>
  <c r="FF60" i="47"/>
  <c r="KR50" i="47"/>
  <c r="FE60" i="47"/>
  <c r="D14" i="70"/>
  <c r="KQ50" i="47"/>
  <c r="IR50" i="47"/>
  <c r="AE50" i="47"/>
  <c r="D15" i="61"/>
  <c r="AF50" i="47"/>
  <c r="KF83" i="47"/>
  <c r="KR58" i="47"/>
  <c r="JE67" i="47"/>
  <c r="MD44" i="47"/>
  <c r="BF29" i="47"/>
  <c r="Q6" i="68"/>
  <c r="HR53" i="47"/>
  <c r="AF29" i="47"/>
  <c r="HD50" i="47"/>
  <c r="DF58" i="47"/>
  <c r="DD53" i="47"/>
  <c r="HF50" i="47"/>
  <c r="FS50" i="47"/>
  <c r="Q67" i="47"/>
  <c r="GF67" i="47"/>
  <c r="BD29" i="47"/>
  <c r="HS53" i="47"/>
  <c r="CR60" i="47"/>
  <c r="AD29" i="47"/>
  <c r="Q7" i="72"/>
  <c r="D16" i="72"/>
  <c r="BQ58" i="47"/>
  <c r="IE44" i="47"/>
  <c r="FS67" i="47"/>
  <c r="CS60" i="47"/>
  <c r="JS29" i="47"/>
  <c r="CQ53" i="47"/>
  <c r="ID44" i="47"/>
  <c r="FR67" i="47"/>
  <c r="JR29" i="47"/>
  <c r="FR29" i="47"/>
  <c r="D37" i="48"/>
  <c r="E79" i="48"/>
  <c r="E20" i="48"/>
  <c r="S50" i="47"/>
  <c r="FQ29" i="47"/>
  <c r="Q50" i="47"/>
  <c r="DF53" i="47"/>
  <c r="FR50" i="47"/>
  <c r="S60" i="47"/>
  <c r="CS53" i="47"/>
  <c r="FF36" i="47"/>
  <c r="GS44" i="47"/>
  <c r="GS50" i="47"/>
  <c r="ED53" i="47"/>
  <c r="DS60" i="47"/>
  <c r="EE39" i="47"/>
  <c r="HE44" i="47"/>
  <c r="E76" i="48"/>
  <c r="LS50" i="47"/>
  <c r="FE39" i="47"/>
  <c r="D53" i="48"/>
  <c r="D83" i="48"/>
  <c r="AQ58" i="47"/>
  <c r="LQ50" i="47"/>
  <c r="LF50" i="47"/>
  <c r="S46" i="28"/>
  <c r="FF39" i="47"/>
  <c r="MF83" i="47"/>
  <c r="E33" i="48"/>
  <c r="AR58" i="47"/>
  <c r="LE50" i="47"/>
  <c r="Q46" i="28"/>
  <c r="S7" i="28"/>
  <c r="R7" i="28"/>
  <c r="EF53" i="47"/>
  <c r="L41" i="28"/>
  <c r="Q30" i="28"/>
  <c r="IF58" i="47"/>
  <c r="EF50" i="47"/>
  <c r="IQ67" i="47"/>
  <c r="LF60" i="47"/>
  <c r="DE44" i="47"/>
  <c r="KD58" i="47"/>
  <c r="AS67" i="47"/>
  <c r="AS83" i="47"/>
  <c r="BE83" i="47"/>
  <c r="KE58" i="47"/>
  <c r="AQ67" i="47"/>
  <c r="HF60" i="47"/>
  <c r="BE50" i="47"/>
  <c r="HE60" i="47"/>
  <c r="BD50" i="47"/>
  <c r="ED44" i="47"/>
  <c r="IQ50" i="47"/>
  <c r="CP119" i="47"/>
  <c r="CQ119" i="47" s="1"/>
  <c r="CR119" i="47" s="1"/>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AS50" i="47"/>
  <c r="FD50" i="47"/>
  <c r="KS58" i="47"/>
  <c r="CF60" i="47"/>
  <c r="BD53" i="47"/>
  <c r="LQ29" i="47"/>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S36" i="47"/>
  <c r="AQ44" i="47"/>
  <c r="IE50" i="47"/>
  <c r="ME44" i="47"/>
  <c r="GE53" i="47"/>
  <c r="KF53" i="47"/>
  <c r="IC116" i="47"/>
  <c r="IF116" i="47" s="1"/>
  <c r="FC118" i="47"/>
  <c r="FF118" i="47" s="1"/>
  <c r="DC118" i="47"/>
  <c r="DF118" i="47" s="1"/>
  <c r="DC116" i="47"/>
  <c r="DD116" i="47" s="1"/>
  <c r="DE116" i="47" s="1"/>
  <c r="JC119" i="47"/>
  <c r="JD119" i="47" s="1"/>
  <c r="JE119" i="47" s="1"/>
  <c r="H49" i="33"/>
  <c r="L69" i="28"/>
  <c r="ID50" i="47"/>
  <c r="CE44" i="47"/>
  <c r="AD44" i="47"/>
  <c r="Q76" i="28"/>
  <c r="R76" i="28"/>
  <c r="S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CF44" i="47"/>
  <c r="BD67" i="47"/>
  <c r="DE39" i="47"/>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FE50" i="47"/>
  <c r="CD60" i="47"/>
  <c r="BE67" i="47"/>
  <c r="IR60" i="47"/>
  <c r="BE53" i="47"/>
  <c r="DF39" i="47"/>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FD36" i="47"/>
  <c r="GR50" i="47"/>
  <c r="EQ44" i="47"/>
  <c r="Q60" i="47"/>
  <c r="LS67" i="47"/>
  <c r="GS70" i="47"/>
  <c r="GR70" i="47"/>
  <c r="GQ70" i="47"/>
  <c r="Q72" i="28"/>
  <c r="S72" i="28"/>
  <c r="R72" i="28"/>
  <c r="JD70" i="47"/>
  <c r="JE70" i="47"/>
  <c r="JF70" i="47"/>
  <c r="MD50" i="47"/>
  <c r="EF11" i="47"/>
  <c r="LQ67" i="47"/>
  <c r="JS67" i="47"/>
  <c r="KE70" i="47"/>
  <c r="KD70" i="47"/>
  <c r="KF70" i="47"/>
  <c r="ED11" i="47"/>
  <c r="GE60" i="47"/>
  <c r="ER67" i="47"/>
  <c r="JQ67" i="47"/>
  <c r="MD70" i="47"/>
  <c r="MF70" i="47"/>
  <c r="ME70" i="47"/>
  <c r="FR58" i="47"/>
  <c r="GD60" i="47"/>
  <c r="FF70" i="47"/>
  <c r="FE70" i="47"/>
  <c r="FD70" i="47"/>
  <c r="FQ58" i="47"/>
  <c r="LE44" i="47"/>
  <c r="FS70" i="47"/>
  <c r="FR70" i="47"/>
  <c r="FQ70" i="47"/>
  <c r="LD44" i="47"/>
  <c r="EF70" i="47"/>
  <c r="ED70" i="47"/>
  <c r="EE70" i="47"/>
  <c r="R48" i="28"/>
  <c r="S48" i="28"/>
  <c r="Q48" i="28"/>
  <c r="R44" i="47"/>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LQ76" i="47"/>
  <c r="LS76" i="47"/>
  <c r="LR76" i="47"/>
  <c r="JF76" i="47"/>
  <c r="JE76" i="47"/>
  <c r="JD76" i="47"/>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KE83" i="47"/>
  <c r="LR44" i="47"/>
  <c r="DR58" i="47"/>
  <c r="EF44" i="47"/>
  <c r="DQ60" i="47"/>
  <c r="KD87" i="47"/>
  <c r="JS83" i="47"/>
  <c r="CQ58" i="47"/>
  <c r="BS58" i="47"/>
  <c r="KE87" i="47"/>
  <c r="LS87" i="47"/>
  <c r="CS58" i="47"/>
  <c r="DF50" i="47"/>
  <c r="LR87" i="47"/>
  <c r="DE50" i="47"/>
  <c r="HS83" i="47"/>
  <c r="EF58" i="47"/>
  <c r="HQ83" i="47"/>
  <c r="DQ58" i="47"/>
  <c r="HD44" i="47"/>
  <c r="LE83" i="47"/>
  <c r="EE58" i="47"/>
  <c r="ER87" i="47"/>
  <c r="KB142" i="47"/>
  <c r="ES87" i="47"/>
  <c r="DB143" i="47"/>
  <c r="AO141" i="47"/>
  <c r="AB141" i="47"/>
  <c r="AE44" i="47"/>
  <c r="BB133" i="47"/>
  <c r="HB134" i="47"/>
  <c r="EB133" i="47"/>
  <c r="JS44" i="47"/>
  <c r="GQ67" i="47"/>
  <c r="FB144" i="47"/>
  <c r="JR44" i="47"/>
  <c r="FS44" i="47"/>
  <c r="GS67" i="47"/>
  <c r="S86" i="28"/>
  <c r="FR44" i="47"/>
  <c r="HD67" i="47"/>
  <c r="CR18" i="47"/>
  <c r="KD67" i="47"/>
  <c r="Q86" i="28"/>
  <c r="GS87" i="47"/>
  <c r="IS58" i="47"/>
  <c r="HE67" i="47"/>
  <c r="CS18" i="47"/>
  <c r="KE67" i="47"/>
  <c r="DO133" i="47"/>
  <c r="DB138" i="47"/>
  <c r="FB143" i="47"/>
  <c r="BO141" i="47"/>
  <c r="BB143" i="47"/>
  <c r="BO143" i="47"/>
  <c r="Q44" i="47"/>
  <c r="DS44" i="47"/>
  <c r="HR60" i="47"/>
  <c r="IS67" i="47"/>
  <c r="IS60" i="47"/>
  <c r="DF44" i="47"/>
  <c r="GE83" i="47"/>
  <c r="HE58" i="47"/>
  <c r="R63" i="28"/>
  <c r="Q63" i="28"/>
  <c r="S63" i="28"/>
  <c r="AF83" i="47"/>
  <c r="GD83" i="47"/>
  <c r="LF83" i="47"/>
  <c r="GQ87" i="47"/>
  <c r="AE83" i="47"/>
  <c r="LE58" i="47"/>
  <c r="HQ44" i="47"/>
  <c r="JD44" i="47"/>
  <c r="JE44" i="47"/>
  <c r="JF44" i="47"/>
  <c r="ME87" i="47"/>
  <c r="GQ83" i="47"/>
  <c r="AB142" i="47"/>
  <c r="LD58" i="47"/>
  <c r="HS44" i="47"/>
  <c r="GD44" i="47"/>
  <c r="FE58" i="47"/>
  <c r="FF58" i="47"/>
  <c r="FD58" i="47"/>
  <c r="HR58" i="47"/>
  <c r="HS58" i="47"/>
  <c r="HQ58" i="47"/>
  <c r="CR67" i="47"/>
  <c r="CS67" i="47"/>
  <c r="CQ67" i="47"/>
  <c r="MD87" i="47"/>
  <c r="DQ44" i="47"/>
  <c r="GF44" i="47"/>
  <c r="AO144" i="47"/>
  <c r="BB144" i="47"/>
  <c r="IR83" i="47"/>
  <c r="H54" i="33"/>
  <c r="LD60" i="47"/>
  <c r="KQ22" i="47"/>
  <c r="KR22" i="47"/>
  <c r="KS22" i="47"/>
  <c r="JS22" i="47"/>
  <c r="JQ22" i="47"/>
  <c r="JR22" i="47"/>
  <c r="AR22" i="47"/>
  <c r="AS22" i="47"/>
  <c r="AQ22" i="47"/>
  <c r="S39" i="28"/>
  <c r="Q39" i="28"/>
  <c r="R39" i="28"/>
  <c r="CS51" i="47"/>
  <c r="CQ51" i="47"/>
  <c r="CR51" i="47"/>
  <c r="LF51" i="47"/>
  <c r="LE51" i="47"/>
  <c r="LD51" i="47"/>
  <c r="HD51" i="47"/>
  <c r="HF51" i="47"/>
  <c r="HE51" i="47"/>
  <c r="LE29" i="47"/>
  <c r="LF29" i="47"/>
  <c r="LD29" i="47"/>
  <c r="JE29" i="47"/>
  <c r="JD29" i="47"/>
  <c r="JF29" i="47"/>
  <c r="AQ14" i="47"/>
  <c r="AR14" i="47"/>
  <c r="AS14" i="47"/>
  <c r="CF14" i="47"/>
  <c r="CD14" i="47"/>
  <c r="CE14" i="47"/>
  <c r="BS14" i="47"/>
  <c r="BQ14" i="47"/>
  <c r="BR14" i="47"/>
  <c r="S56" i="28"/>
  <c r="R56" i="28"/>
  <c r="Q56"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GF51" i="47"/>
  <c r="GD51" i="47"/>
  <c r="GE51" i="47"/>
  <c r="CF51" i="47"/>
  <c r="CD51" i="47"/>
  <c r="CE51" i="47"/>
  <c r="GQ51" i="47"/>
  <c r="GS51" i="47"/>
  <c r="GR51" i="47"/>
  <c r="BR29" i="47"/>
  <c r="BQ29" i="47"/>
  <c r="BS29" i="47"/>
  <c r="ED29" i="47"/>
  <c r="EE29" i="47"/>
  <c r="EF29" i="47"/>
  <c r="KR14" i="47"/>
  <c r="KQ14" i="47"/>
  <c r="KS14" i="47"/>
  <c r="LQ14" i="47"/>
  <c r="LS14" i="47"/>
  <c r="LR14" i="47"/>
  <c r="FD14" i="47"/>
  <c r="FE14" i="47"/>
  <c r="FF14" i="47"/>
  <c r="KR39" i="47"/>
  <c r="KQ39" i="47"/>
  <c r="KS39" i="47"/>
  <c r="FS39" i="47"/>
  <c r="FR39" i="47"/>
  <c r="FQ39" i="47"/>
  <c r="LQ53" i="47"/>
  <c r="LR53" i="47"/>
  <c r="LS53" i="47"/>
  <c r="I54" i="33"/>
  <c r="JR83" i="47"/>
  <c r="FR60" i="47"/>
  <c r="HQ22" i="47"/>
  <c r="HS22" i="47"/>
  <c r="HR22" i="47"/>
  <c r="CR22" i="47"/>
  <c r="CQ22" i="47"/>
  <c r="CS22" i="47"/>
  <c r="BE22" i="47"/>
  <c r="BD22" i="47"/>
  <c r="BF22" i="47"/>
  <c r="BQ51" i="47"/>
  <c r="BR51" i="47"/>
  <c r="BS51" i="47"/>
  <c r="IS51" i="47"/>
  <c r="IR51" i="47"/>
  <c r="IQ51" i="47"/>
  <c r="DE51" i="47"/>
  <c r="DD51" i="47"/>
  <c r="DF51" i="47"/>
  <c r="HR51" i="47"/>
  <c r="HS51" i="47"/>
  <c r="HQ51" i="47"/>
  <c r="ES29" i="47"/>
  <c r="EQ29" i="47"/>
  <c r="ER29" i="47"/>
  <c r="IS29" i="47"/>
  <c r="IR29" i="47"/>
  <c r="IQ29" i="47"/>
  <c r="GR29" i="47"/>
  <c r="GS29" i="47"/>
  <c r="GQ29" i="47"/>
  <c r="EE14" i="47"/>
  <c r="EF14" i="47"/>
  <c r="ED14" i="47"/>
  <c r="GS14" i="47"/>
  <c r="GQ14" i="47"/>
  <c r="GR14" i="47"/>
  <c r="CQ14" i="47"/>
  <c r="CS14" i="47"/>
  <c r="CR14" i="47"/>
  <c r="S14" i="28"/>
  <c r="R14" i="28"/>
  <c r="Q14" i="28"/>
  <c r="CS39" i="47"/>
  <c r="CR39" i="47"/>
  <c r="CQ39" i="47"/>
  <c r="DQ39" i="47"/>
  <c r="DR39" i="47"/>
  <c r="DS39" i="47"/>
  <c r="CE53" i="47"/>
  <c r="CF53" i="47"/>
  <c r="CD53" i="47"/>
  <c r="KF8" i="47"/>
  <c r="KD8" i="47"/>
  <c r="KE8" i="47"/>
  <c r="LF8" i="47"/>
  <c r="LD8" i="47"/>
  <c r="LE8" i="47"/>
  <c r="AD8" i="47"/>
  <c r="AF8" i="47"/>
  <c r="AE8" i="47"/>
  <c r="FS60" i="47"/>
  <c r="S22" i="47"/>
  <c r="R22" i="47"/>
  <c r="Q22" i="47"/>
  <c r="LE22" i="47"/>
  <c r="LF22" i="47"/>
  <c r="LD22" i="47"/>
  <c r="JD22" i="47"/>
  <c r="JE22" i="47"/>
  <c r="JF22" i="47"/>
  <c r="HD22" i="47"/>
  <c r="HE22" i="47"/>
  <c r="HF22" i="47"/>
  <c r="KQ51" i="47"/>
  <c r="KR51" i="47"/>
  <c r="KS51" i="47"/>
  <c r="FE51" i="47"/>
  <c r="FF51" i="47"/>
  <c r="FD51" i="47"/>
  <c r="Q51" i="47"/>
  <c r="S51" i="47"/>
  <c r="R51" i="47"/>
  <c r="IF51" i="47"/>
  <c r="ID51" i="47"/>
  <c r="IE51" i="47"/>
  <c r="HE29" i="47"/>
  <c r="HF29" i="47"/>
  <c r="HD29" i="47"/>
  <c r="KQ29" i="47"/>
  <c r="KR29" i="47"/>
  <c r="KS29" i="47"/>
  <c r="ME29" i="47"/>
  <c r="MD29" i="47"/>
  <c r="MF29" i="47"/>
  <c r="DR14" i="47"/>
  <c r="DQ14" i="47"/>
  <c r="DS14" i="47"/>
  <c r="IF14" i="47"/>
  <c r="IE14" i="47"/>
  <c r="ID14" i="47"/>
  <c r="ER14" i="47"/>
  <c r="ES14" i="47"/>
  <c r="EQ14" i="47"/>
  <c r="GS39" i="47"/>
  <c r="GQ39" i="47"/>
  <c r="GR39" i="47"/>
  <c r="IS39" i="47"/>
  <c r="IQ39" i="47"/>
  <c r="IR39" i="47"/>
  <c r="ER39" i="47"/>
  <c r="ES39" i="47"/>
  <c r="EQ39" i="47"/>
  <c r="IS8" i="47"/>
  <c r="IQ8" i="47"/>
  <c r="IR8" i="47"/>
  <c r="GR8" i="47"/>
  <c r="GQ8" i="47"/>
  <c r="GS8" i="47"/>
  <c r="S8" i="47"/>
  <c r="Q8" i="47"/>
  <c r="R8" i="47"/>
  <c r="EF8" i="47"/>
  <c r="EE8" i="47"/>
  <c r="ED8" i="47"/>
  <c r="BR8" i="47"/>
  <c r="BS8" i="47"/>
  <c r="BQ8" i="47"/>
  <c r="CQ83" i="47"/>
  <c r="EO141" i="47"/>
  <c r="GS22" i="47"/>
  <c r="GQ22" i="47"/>
  <c r="GR22" i="47"/>
  <c r="EQ22" i="47"/>
  <c r="ER22" i="47"/>
  <c r="ES22" i="47"/>
  <c r="IQ22" i="47"/>
  <c r="IS22" i="47"/>
  <c r="IR22" i="47"/>
  <c r="LS22" i="47"/>
  <c r="LR22" i="47"/>
  <c r="LQ22" i="47"/>
  <c r="FQ51" i="47"/>
  <c r="FR51" i="47"/>
  <c r="FS51" i="47"/>
  <c r="ME51" i="47"/>
  <c r="MD51" i="47"/>
  <c r="MF51" i="47"/>
  <c r="JE51" i="47"/>
  <c r="JF51" i="47"/>
  <c r="JD51" i="47"/>
  <c r="IE29" i="47"/>
  <c r="IF29" i="47"/>
  <c r="ID29" i="47"/>
  <c r="DE29" i="47"/>
  <c r="DF29" i="47"/>
  <c r="DD29" i="47"/>
  <c r="JS14" i="47"/>
  <c r="JQ14" i="47"/>
  <c r="JR14" i="47"/>
  <c r="HD14" i="47"/>
  <c r="HE14" i="47"/>
  <c r="HF14" i="47"/>
  <c r="ME14" i="47"/>
  <c r="MF14" i="47"/>
  <c r="MD14" i="47"/>
  <c r="KF14" i="47"/>
  <c r="KE14" i="47"/>
  <c r="KD14" i="47"/>
  <c r="BR39" i="47"/>
  <c r="BS39" i="47"/>
  <c r="BQ39" i="47"/>
  <c r="GD39" i="47"/>
  <c r="GE39" i="47"/>
  <c r="GF39" i="47"/>
  <c r="AS39" i="47"/>
  <c r="AQ39" i="47"/>
  <c r="AR39" i="47"/>
  <c r="LQ8" i="47"/>
  <c r="LS8" i="47"/>
  <c r="LR8" i="47"/>
  <c r="AS8" i="47"/>
  <c r="AQ8" i="47"/>
  <c r="AR8" i="47"/>
  <c r="ME8" i="47"/>
  <c r="MF8" i="47"/>
  <c r="MD8" i="47"/>
  <c r="JF8" i="47"/>
  <c r="JD8" i="47"/>
  <c r="JE8" i="47"/>
  <c r="ES8" i="47"/>
  <c r="EQ8" i="47"/>
  <c r="ER8" i="47"/>
  <c r="CR83" i="47"/>
  <c r="AO142" i="47"/>
  <c r="AF22" i="47"/>
  <c r="AD22" i="47"/>
  <c r="AE22" i="47"/>
  <c r="EF22" i="47"/>
  <c r="EE22" i="47"/>
  <c r="ED22" i="47"/>
  <c r="CF22" i="47"/>
  <c r="CE22" i="47"/>
  <c r="CD22" i="47"/>
  <c r="S8" i="28"/>
  <c r="Q8" i="28"/>
  <c r="R8" i="28"/>
  <c r="R22" i="28"/>
  <c r="S22" i="28"/>
  <c r="Q22" i="28"/>
  <c r="KF51" i="47"/>
  <c r="KD51" i="47"/>
  <c r="KE51" i="47"/>
  <c r="ED51" i="47"/>
  <c r="EE51" i="47"/>
  <c r="EF51" i="47"/>
  <c r="JQ51" i="47"/>
  <c r="JS51" i="47"/>
  <c r="JR51" i="47"/>
  <c r="FE29" i="47"/>
  <c r="FF29" i="47"/>
  <c r="FD29" i="47"/>
  <c r="HS29" i="47"/>
  <c r="HQ29" i="47"/>
  <c r="HR29" i="47"/>
  <c r="DE14" i="47"/>
  <c r="DD14" i="47"/>
  <c r="DF14" i="47"/>
  <c r="R14" i="47"/>
  <c r="Q14" i="47"/>
  <c r="S14" i="47"/>
  <c r="AE14" i="47"/>
  <c r="AD14" i="47"/>
  <c r="AF14" i="47"/>
  <c r="HS14" i="47"/>
  <c r="HQ14" i="47"/>
  <c r="HR14" i="47"/>
  <c r="E30" i="47"/>
  <c r="E30" i="28"/>
  <c r="HQ39" i="47"/>
  <c r="HR39" i="47"/>
  <c r="HS39" i="47"/>
  <c r="CE39" i="47"/>
  <c r="CF39" i="47"/>
  <c r="CD39" i="47"/>
  <c r="R53" i="47"/>
  <c r="S53" i="47"/>
  <c r="Q53" i="47"/>
  <c r="BD8" i="47"/>
  <c r="BE8" i="47"/>
  <c r="BF8" i="47"/>
  <c r="IF8" i="47"/>
  <c r="ID8" i="47"/>
  <c r="IE8" i="47"/>
  <c r="GF8" i="47"/>
  <c r="GE8" i="47"/>
  <c r="GD8" i="47"/>
  <c r="KE22" i="47"/>
  <c r="KD22" i="47"/>
  <c r="KF22" i="47"/>
  <c r="FR22" i="47"/>
  <c r="FS22" i="47"/>
  <c r="FQ22" i="47"/>
  <c r="BS22" i="47"/>
  <c r="BR22" i="47"/>
  <c r="BQ22" i="47"/>
  <c r="MF22" i="47"/>
  <c r="ME22" i="47"/>
  <c r="MD22" i="47"/>
  <c r="E23" i="47"/>
  <c r="E23" i="28"/>
  <c r="AF51" i="47"/>
  <c r="AE51" i="47"/>
  <c r="AD51" i="47"/>
  <c r="AR51" i="47"/>
  <c r="AQ51" i="47"/>
  <c r="AS51" i="47"/>
  <c r="BD51" i="47"/>
  <c r="BE51" i="47"/>
  <c r="BF51" i="47"/>
  <c r="GE29" i="47"/>
  <c r="GF29" i="47"/>
  <c r="GD29" i="47"/>
  <c r="CS29" i="47"/>
  <c r="CQ29" i="47"/>
  <c r="CR29" i="47"/>
  <c r="JF14" i="47"/>
  <c r="JD14" i="47"/>
  <c r="JE14" i="47"/>
  <c r="IQ14" i="47"/>
  <c r="IR14" i="47"/>
  <c r="IS14" i="47"/>
  <c r="FR14" i="47"/>
  <c r="FS14" i="47"/>
  <c r="FQ14" i="47"/>
  <c r="KF39" i="47"/>
  <c r="KE39" i="47"/>
  <c r="KD39" i="47"/>
  <c r="BF39" i="47"/>
  <c r="BD39" i="47"/>
  <c r="BE39" i="47"/>
  <c r="FF53" i="47"/>
  <c r="FE53" i="47"/>
  <c r="FD53" i="47"/>
  <c r="DF8" i="47"/>
  <c r="DE8" i="47"/>
  <c r="DD8" i="47"/>
  <c r="FQ8" i="47"/>
  <c r="FR8" i="47"/>
  <c r="FS8" i="47"/>
  <c r="FF8" i="47"/>
  <c r="FE8" i="47"/>
  <c r="FD8" i="47"/>
  <c r="HR8" i="47"/>
  <c r="HQ8" i="47"/>
  <c r="HS8" i="47"/>
  <c r="IQ83" i="47"/>
  <c r="EO142" i="47"/>
  <c r="GE22" i="47"/>
  <c r="GF22" i="47"/>
  <c r="GD22" i="47"/>
  <c r="FE22" i="47"/>
  <c r="FF22" i="47"/>
  <c r="FD22" i="47"/>
  <c r="IF22" i="47"/>
  <c r="ID22" i="47"/>
  <c r="IE22" i="47"/>
  <c r="DQ51" i="47"/>
  <c r="DS51" i="47"/>
  <c r="DR51" i="47"/>
  <c r="ES51" i="47"/>
  <c r="EQ51" i="47"/>
  <c r="ER51" i="47"/>
  <c r="LR51" i="47"/>
  <c r="LQ51" i="47"/>
  <c r="LS51" i="47"/>
  <c r="KD29" i="47"/>
  <c r="KF29" i="47"/>
  <c r="KE29" i="47"/>
  <c r="AS29" i="47"/>
  <c r="AQ29" i="47"/>
  <c r="AR29" i="47"/>
  <c r="R42" i="28"/>
  <c r="Q42" i="28"/>
  <c r="S42" i="28"/>
  <c r="BF14" i="47"/>
  <c r="BE14" i="47"/>
  <c r="BD14" i="47"/>
  <c r="GF14" i="47"/>
  <c r="GE14" i="47"/>
  <c r="GD14" i="47"/>
  <c r="LF14" i="47"/>
  <c r="LD14" i="47"/>
  <c r="LE14" i="47"/>
  <c r="Q88" i="28"/>
  <c r="S88" i="28"/>
  <c r="R88" i="28"/>
  <c r="IE39" i="47"/>
  <c r="ID39" i="47"/>
  <c r="IF39" i="47"/>
  <c r="S39" i="47"/>
  <c r="Q39" i="47"/>
  <c r="R39" i="47"/>
  <c r="KS53" i="47"/>
  <c r="KR53" i="47"/>
  <c r="KQ53" i="47"/>
  <c r="KS8" i="47"/>
  <c r="KR8" i="47"/>
  <c r="KQ8" i="47"/>
  <c r="CQ8" i="47"/>
  <c r="CR8" i="47"/>
  <c r="CS8" i="47"/>
  <c r="CD8" i="47"/>
  <c r="CF8" i="47"/>
  <c r="CE8" i="47"/>
  <c r="Q51" i="28"/>
  <c r="R51" i="28"/>
  <c r="S51" i="28"/>
  <c r="S83" i="28"/>
  <c r="IE83" i="47"/>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Q28" i="28"/>
  <c r="R28" i="28"/>
  <c r="S28" i="28"/>
  <c r="ER21" i="47"/>
  <c r="EQ21" i="47"/>
  <c r="ES21" i="47"/>
  <c r="IS21" i="47"/>
  <c r="IR21" i="47"/>
  <c r="IQ21" i="47"/>
  <c r="GE21" i="47"/>
  <c r="GF21" i="47"/>
  <c r="GD21" i="47"/>
  <c r="KF21" i="47"/>
  <c r="KD21" i="47"/>
  <c r="KE21" i="47"/>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AF21" i="47"/>
  <c r="AD21" i="47"/>
  <c r="AE21" i="47"/>
  <c r="FS21" i="47"/>
  <c r="FR21" i="47"/>
  <c r="FQ21" i="47"/>
  <c r="ME21" i="47"/>
  <c r="MF21" i="47"/>
  <c r="MD21" i="47"/>
  <c r="GS21" i="47"/>
  <c r="GQ21" i="47"/>
  <c r="GR21" i="47"/>
  <c r="IB144" i="47"/>
  <c r="IB142" i="47"/>
  <c r="S18" i="28"/>
  <c r="R18" i="28"/>
  <c r="Q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D21" i="47"/>
  <c r="FF21" i="47"/>
  <c r="FE21" i="47"/>
  <c r="DR21" i="47"/>
  <c r="DQ21" i="47"/>
  <c r="DS21" i="47"/>
  <c r="LS21" i="47"/>
  <c r="LQ21" i="47"/>
  <c r="LR21" i="47"/>
  <c r="LF67" i="47"/>
  <c r="LE67" i="47"/>
  <c r="LD67" i="47"/>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LE21" i="47"/>
  <c r="LF21" i="47"/>
  <c r="LD21" i="47"/>
  <c r="KR21" i="47"/>
  <c r="KQ21" i="47"/>
  <c r="KS21" i="47"/>
  <c r="CS21" i="47"/>
  <c r="CR21" i="47"/>
  <c r="CQ21" i="47"/>
  <c r="BS67" i="47"/>
  <c r="BR67" i="47"/>
  <c r="BQ67" i="47"/>
  <c r="Q78" i="28"/>
  <c r="R78" i="28"/>
  <c r="S78" i="28"/>
  <c r="Q44" i="28"/>
  <c r="S44" i="28"/>
  <c r="R44" i="28"/>
  <c r="AR60" i="47"/>
  <c r="AS60" i="47"/>
  <c r="AQ60" i="47"/>
  <c r="AF52" i="47"/>
  <c r="AE52" i="47"/>
  <c r="AD52" i="47"/>
  <c r="JS52" i="47"/>
  <c r="JR52" i="47"/>
  <c r="JQ52" i="47"/>
  <c r="ED52" i="47"/>
  <c r="EF52" i="47"/>
  <c r="EE52" i="47"/>
  <c r="LS52" i="47"/>
  <c r="LQ52" i="47"/>
  <c r="LR52" i="47"/>
  <c r="HF18" i="47"/>
  <c r="HE18" i="47"/>
  <c r="HD18" i="47"/>
  <c r="AS18" i="47"/>
  <c r="AQ18" i="47"/>
  <c r="AR18" i="47"/>
  <c r="IE21" i="47"/>
  <c r="ID21" i="47"/>
  <c r="IF21" i="47"/>
  <c r="HS21" i="47"/>
  <c r="HQ21" i="47"/>
  <c r="HR21" i="47"/>
  <c r="HD21" i="47"/>
  <c r="HF21" i="47"/>
  <c r="HE21" i="47"/>
  <c r="AE67" i="47"/>
  <c r="AD67" i="47"/>
  <c r="AF67" i="47"/>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CE21" i="47"/>
  <c r="CD21" i="47"/>
  <c r="CF21" i="47"/>
  <c r="BR21" i="47"/>
  <c r="BS21" i="47"/>
  <c r="BQ21" i="47"/>
  <c r="DE21" i="47"/>
  <c r="DD21" i="47"/>
  <c r="DF21" i="47"/>
  <c r="ED67" i="47"/>
  <c r="EE67" i="47"/>
  <c r="EF67" i="47"/>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JQ21" i="47"/>
  <c r="JR21" i="47"/>
  <c r="JS21" i="47"/>
  <c r="JD21" i="47"/>
  <c r="JF21" i="47"/>
  <c r="JE21" i="47"/>
  <c r="AR21" i="47"/>
  <c r="AS21" i="47"/>
  <c r="AQ21" i="47"/>
  <c r="FF67" i="47"/>
  <c r="FE67" i="47"/>
  <c r="FD67" i="47"/>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S70" i="28"/>
  <c r="R70" i="28"/>
  <c r="Q70" i="28"/>
  <c r="BE21" i="47"/>
  <c r="BD21" i="47"/>
  <c r="BF21" i="47"/>
  <c r="S21" i="47"/>
  <c r="R21" i="47"/>
  <c r="Q21" i="47"/>
  <c r="ED21" i="47"/>
  <c r="EE21" i="47"/>
  <c r="EF21" i="47"/>
  <c r="DE67" i="47"/>
  <c r="DD67" i="47"/>
  <c r="DF67" i="47"/>
  <c r="BF83" i="47"/>
  <c r="H47" i="33"/>
  <c r="DD37" i="47"/>
  <c r="DF37" i="47"/>
  <c r="DE37" i="47"/>
  <c r="IQ37" i="47"/>
  <c r="IR37" i="47"/>
  <c r="IS37" i="47"/>
  <c r="GS37" i="47"/>
  <c r="GR37" i="47"/>
  <c r="GQ37" i="47"/>
  <c r="AR9" i="47"/>
  <c r="AS9" i="47"/>
  <c r="AQ9" i="47"/>
  <c r="GF9" i="47"/>
  <c r="GD9" i="47"/>
  <c r="GE9" i="47"/>
  <c r="LQ9" i="47"/>
  <c r="LS9" i="47"/>
  <c r="LR9" i="47"/>
  <c r="GQ9" i="47"/>
  <c r="GS9" i="47"/>
  <c r="GR9" i="47"/>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LS65" i="47"/>
  <c r="LR65" i="47"/>
  <c r="LQ65" i="47"/>
  <c r="AD65" i="47"/>
  <c r="AF65" i="47"/>
  <c r="AE65" i="47"/>
  <c r="LD65" i="47"/>
  <c r="LE65" i="47"/>
  <c r="LF65" i="47"/>
  <c r="FS66" i="47"/>
  <c r="FR66" i="47"/>
  <c r="FQ66" i="47"/>
  <c r="KS66" i="47"/>
  <c r="KR66" i="47"/>
  <c r="KQ66" i="47"/>
  <c r="HS66" i="47"/>
  <c r="HQ66" i="47"/>
  <c r="HR66" i="47"/>
  <c r="GR66" i="47"/>
  <c r="GS66" i="47"/>
  <c r="GQ66" i="47"/>
  <c r="GE59" i="47"/>
  <c r="GF59" i="47"/>
  <c r="GD59" i="47"/>
  <c r="LS59" i="47"/>
  <c r="LQ59" i="47"/>
  <c r="LR59" i="47"/>
  <c r="DR59" i="47"/>
  <c r="DQ59" i="47"/>
  <c r="DS59" i="47"/>
  <c r="FO136" i="47"/>
  <c r="KO136" i="47"/>
  <c r="EO136" i="47"/>
  <c r="FO137" i="47"/>
  <c r="FO135" i="47"/>
  <c r="EQ37" i="47"/>
  <c r="ES37" i="47"/>
  <c r="ER37" i="47"/>
  <c r="BF9" i="47"/>
  <c r="BD9" i="47"/>
  <c r="BE9" i="47"/>
  <c r="HE32" i="47"/>
  <c r="HF32" i="47"/>
  <c r="HD32" i="47"/>
  <c r="CQ45" i="47"/>
  <c r="CR45" i="47"/>
  <c r="CS45" i="47"/>
  <c r="CE66" i="47"/>
  <c r="CF66" i="47"/>
  <c r="CD66" i="47"/>
  <c r="LD66" i="47"/>
  <c r="LF66" i="47"/>
  <c r="LE66" i="47"/>
  <c r="S59" i="47"/>
  <c r="R59" i="47"/>
  <c r="Q59" i="47"/>
  <c r="CF59" i="47"/>
  <c r="CE59" i="47"/>
  <c r="CD59" i="47"/>
  <c r="KE59" i="47"/>
  <c r="KD59" i="47"/>
  <c r="KF59" i="47"/>
  <c r="JS59" i="47"/>
  <c r="JR59" i="47"/>
  <c r="JQ59" i="47"/>
  <c r="BB136" i="47"/>
  <c r="IO134" i="47"/>
  <c r="Q83" i="28"/>
  <c r="AB138" i="47"/>
  <c r="FB136" i="47"/>
  <c r="FB138" i="47"/>
  <c r="DB137" i="47"/>
  <c r="GO137" i="47"/>
  <c r="BO133" i="47"/>
  <c r="FB135" i="47"/>
  <c r="GO136" i="47"/>
  <c r="AR83" i="47"/>
  <c r="S58" i="28"/>
  <c r="Q58" i="28"/>
  <c r="R58" i="28"/>
  <c r="JQ37" i="47"/>
  <c r="JR37" i="47"/>
  <c r="JS37" i="47"/>
  <c r="FQ37" i="47"/>
  <c r="FR37" i="47"/>
  <c r="FS37" i="47"/>
  <c r="LE37" i="47"/>
  <c r="LF37" i="47"/>
  <c r="LD37" i="47"/>
  <c r="MD37" i="47"/>
  <c r="MF37" i="47"/>
  <c r="ME37" i="47"/>
  <c r="S59" i="28"/>
  <c r="R59" i="28"/>
  <c r="Q59" i="28"/>
  <c r="S32" i="28"/>
  <c r="R32" i="28"/>
  <c r="Q32" i="28"/>
  <c r="EE9" i="47"/>
  <c r="EF9" i="47"/>
  <c r="ED9" i="47"/>
  <c r="ER9" i="47"/>
  <c r="ES9" i="47"/>
  <c r="EQ9" i="47"/>
  <c r="S9" i="47"/>
  <c r="R9" i="47"/>
  <c r="Q9" i="47"/>
  <c r="S58" i="47"/>
  <c r="R58" i="47"/>
  <c r="Q58" i="47"/>
  <c r="MF32" i="47"/>
  <c r="MD32" i="47"/>
  <c r="ME32" i="47"/>
  <c r="LQ32" i="47"/>
  <c r="LS32" i="47"/>
  <c r="LR32" i="47"/>
  <c r="IE32" i="47"/>
  <c r="ID32" i="47"/>
  <c r="IF32" i="47"/>
  <c r="BQ32" i="47"/>
  <c r="BR32" i="47"/>
  <c r="BS32" i="47"/>
  <c r="BE45" i="47"/>
  <c r="BD45" i="47"/>
  <c r="BF45" i="47"/>
  <c r="AF45" i="47"/>
  <c r="AD45" i="47"/>
  <c r="AE45" i="47"/>
  <c r="GS45" i="47"/>
  <c r="GR45" i="47"/>
  <c r="GQ45" i="47"/>
  <c r="ER65" i="47"/>
  <c r="ES65" i="47"/>
  <c r="EQ65" i="47"/>
  <c r="CF65" i="47"/>
  <c r="CD65" i="47"/>
  <c r="CE65" i="47"/>
  <c r="KS65" i="47"/>
  <c r="KQ65" i="47"/>
  <c r="KR65" i="47"/>
  <c r="GF66" i="47"/>
  <c r="GE66" i="47"/>
  <c r="GD66" i="47"/>
  <c r="AQ66" i="47"/>
  <c r="AS66" i="47"/>
  <c r="AR66" i="47"/>
  <c r="DR66" i="47"/>
  <c r="DS66" i="47"/>
  <c r="DQ66" i="47"/>
  <c r="Q66" i="28"/>
  <c r="R66" i="28"/>
  <c r="S66" i="28"/>
  <c r="AQ59" i="47"/>
  <c r="AR59" i="47"/>
  <c r="AS59" i="47"/>
  <c r="HD59" i="47"/>
  <c r="HE59" i="47"/>
  <c r="HF59" i="47"/>
  <c r="BD59" i="47"/>
  <c r="BF59" i="47"/>
  <c r="BE59" i="47"/>
  <c r="MD59" i="47"/>
  <c r="ME59" i="47"/>
  <c r="MF59" i="47"/>
  <c r="S37" i="28"/>
  <c r="R37" i="28"/>
  <c r="Q37" i="28"/>
  <c r="GB135" i="47"/>
  <c r="BB139" i="47"/>
  <c r="O134" i="47"/>
  <c r="AE37" i="47"/>
  <c r="AF37" i="47"/>
  <c r="AD37" i="47"/>
  <c r="CR37" i="47"/>
  <c r="CS37" i="47"/>
  <c r="CQ37" i="47"/>
  <c r="EE37" i="47"/>
  <c r="EF37" i="47"/>
  <c r="ED37" i="47"/>
  <c r="AD9" i="47"/>
  <c r="AE9" i="47"/>
  <c r="AF9" i="47"/>
  <c r="CD9" i="47"/>
  <c r="CF9" i="47"/>
  <c r="CE9" i="47"/>
  <c r="HE9" i="47"/>
  <c r="HD9" i="47"/>
  <c r="HF9" i="47"/>
  <c r="ME58" i="47"/>
  <c r="MD58" i="47"/>
  <c r="MF58" i="47"/>
  <c r="GF32" i="47"/>
  <c r="GE32" i="47"/>
  <c r="GD32" i="47"/>
  <c r="IQ32" i="47"/>
  <c r="IS32" i="47"/>
  <c r="IR32" i="47"/>
  <c r="CE32" i="47"/>
  <c r="CD32" i="47"/>
  <c r="CF32" i="47"/>
  <c r="HD45" i="47"/>
  <c r="HE45" i="47"/>
  <c r="HF45" i="47"/>
  <c r="FF45" i="47"/>
  <c r="FD45" i="47"/>
  <c r="FE45" i="47"/>
  <c r="EE45" i="47"/>
  <c r="EF45" i="47"/>
  <c r="ED45" i="47"/>
  <c r="GR65" i="47"/>
  <c r="GQ65" i="47"/>
  <c r="GS65" i="47"/>
  <c r="GD65" i="47"/>
  <c r="GF65" i="47"/>
  <c r="GE65" i="47"/>
  <c r="IR65" i="47"/>
  <c r="IS65" i="47"/>
  <c r="IQ65" i="47"/>
  <c r="HD66" i="47"/>
  <c r="HF66" i="47"/>
  <c r="HE66" i="47"/>
  <c r="IQ66" i="47"/>
  <c r="IR66" i="47"/>
  <c r="IS66" i="47"/>
  <c r="AE66" i="47"/>
  <c r="AD66" i="47"/>
  <c r="AF66" i="47"/>
  <c r="DF59" i="47"/>
  <c r="DE59" i="47"/>
  <c r="DD59" i="47"/>
  <c r="FR59" i="47"/>
  <c r="FS59" i="47"/>
  <c r="FQ59" i="47"/>
  <c r="EQ59" i="47"/>
  <c r="ER59" i="47"/>
  <c r="ES59" i="47"/>
  <c r="LB135" i="47"/>
  <c r="JB137" i="47"/>
  <c r="CO137" i="47"/>
  <c r="IB134" i="47"/>
  <c r="JO134" i="47"/>
  <c r="HD37" i="47"/>
  <c r="HF37" i="47"/>
  <c r="HE37" i="47"/>
  <c r="HR9" i="47"/>
  <c r="HS9" i="47"/>
  <c r="HQ9" i="47"/>
  <c r="KQ32" i="47"/>
  <c r="KR32" i="47"/>
  <c r="KS32" i="47"/>
  <c r="KD65" i="47"/>
  <c r="KF65" i="47"/>
  <c r="KE65" i="47"/>
  <c r="KB136" i="47"/>
  <c r="JO137" i="47"/>
  <c r="BO134" i="47"/>
  <c r="O136" i="47"/>
  <c r="MB135" i="47"/>
  <c r="LO134" i="47"/>
  <c r="LO139" i="47"/>
  <c r="GO139" i="47"/>
  <c r="MB138" i="47"/>
  <c r="LO138" i="47"/>
  <c r="KO137" i="47"/>
  <c r="JO133" i="47"/>
  <c r="EB137" i="47"/>
  <c r="HB135" i="47"/>
  <c r="LB137" i="47"/>
  <c r="GS83" i="47"/>
  <c r="LO142" i="47"/>
  <c r="EB143" i="47"/>
  <c r="GB142" i="47"/>
  <c r="LB141" i="47"/>
  <c r="HS37" i="47"/>
  <c r="HQ37" i="47"/>
  <c r="HR37" i="47"/>
  <c r="KE37" i="47"/>
  <c r="KF37" i="47"/>
  <c r="KD37" i="47"/>
  <c r="GE37" i="47"/>
  <c r="GF37" i="47"/>
  <c r="GD37" i="47"/>
  <c r="BS9" i="47"/>
  <c r="BQ9" i="47"/>
  <c r="BR9" i="47"/>
  <c r="LE9" i="47"/>
  <c r="LF9" i="47"/>
  <c r="LD9" i="47"/>
  <c r="DE9" i="47"/>
  <c r="DF9" i="47"/>
  <c r="DD9" i="47"/>
  <c r="JD58" i="47"/>
  <c r="JE58" i="47"/>
  <c r="JF58" i="47"/>
  <c r="EE32" i="47"/>
  <c r="EF32" i="47"/>
  <c r="ED32" i="47"/>
  <c r="DR32" i="47"/>
  <c r="DS32" i="47"/>
  <c r="DQ32" i="47"/>
  <c r="JS32" i="47"/>
  <c r="JR32" i="47"/>
  <c r="JQ32" i="47"/>
  <c r="BQ45" i="47"/>
  <c r="BS45" i="47"/>
  <c r="BR45" i="47"/>
  <c r="EQ45" i="47"/>
  <c r="ER45" i="47"/>
  <c r="ES45" i="47"/>
  <c r="LS45" i="47"/>
  <c r="LQ45" i="47"/>
  <c r="LR45" i="47"/>
  <c r="FF65" i="47"/>
  <c r="FE65" i="47"/>
  <c r="FD65" i="47"/>
  <c r="HF65" i="47"/>
  <c r="HE65" i="47"/>
  <c r="HD65" i="47"/>
  <c r="BQ65" i="47"/>
  <c r="BS65" i="47"/>
  <c r="BR65" i="47"/>
  <c r="DF66" i="47"/>
  <c r="DE66" i="47"/>
  <c r="DD66" i="47"/>
  <c r="JF66" i="47"/>
  <c r="JE66" i="47"/>
  <c r="JD66" i="47"/>
  <c r="S66" i="47"/>
  <c r="Q66" i="47"/>
  <c r="R66" i="47"/>
  <c r="FF59" i="47"/>
  <c r="FE59" i="47"/>
  <c r="FD59" i="47"/>
  <c r="LE59" i="47"/>
  <c r="LD59" i="47"/>
  <c r="LF59" i="47"/>
  <c r="KR59" i="47"/>
  <c r="KQ59" i="47"/>
  <c r="KS59" i="47"/>
  <c r="EB138" i="47"/>
  <c r="CB134" i="47"/>
  <c r="HB137" i="47"/>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HO144" i="47"/>
  <c r="B28" i="28"/>
  <c r="J28" i="28"/>
  <c r="BD37" i="47"/>
  <c r="BE37" i="47"/>
  <c r="BF37" i="47"/>
  <c r="IF37" i="47"/>
  <c r="ID37" i="47"/>
  <c r="IE37" i="47"/>
  <c r="BR37" i="47"/>
  <c r="BS37" i="47"/>
  <c r="BQ37" i="47"/>
  <c r="KD9" i="47"/>
  <c r="KF9" i="47"/>
  <c r="KE9" i="47"/>
  <c r="FF9" i="47"/>
  <c r="FE9" i="47"/>
  <c r="FD9" i="47"/>
  <c r="JQ9" i="47"/>
  <c r="JS9" i="47"/>
  <c r="JR9" i="47"/>
  <c r="JE32" i="47"/>
  <c r="JF32" i="47"/>
  <c r="JD32" i="47"/>
  <c r="AQ32" i="47"/>
  <c r="AR32" i="47"/>
  <c r="AS32" i="47"/>
  <c r="LE32" i="47"/>
  <c r="LD32" i="47"/>
  <c r="LF32" i="47"/>
  <c r="GE45" i="47"/>
  <c r="GF45" i="47"/>
  <c r="GD45" i="47"/>
  <c r="CE45" i="47"/>
  <c r="CD45" i="47"/>
  <c r="CF45" i="47"/>
  <c r="JF45" i="47"/>
  <c r="JD45" i="47"/>
  <c r="JE45" i="47"/>
  <c r="ID65" i="47"/>
  <c r="IE65" i="47"/>
  <c r="IF65" i="47"/>
  <c r="HR65" i="47"/>
  <c r="HQ65" i="47"/>
  <c r="HS65" i="47"/>
  <c r="JS65" i="47"/>
  <c r="JQ65" i="47"/>
  <c r="JR65" i="47"/>
  <c r="CS65" i="47"/>
  <c r="CQ65" i="47"/>
  <c r="CR65" i="47"/>
  <c r="ER66" i="47"/>
  <c r="ES66" i="47"/>
  <c r="EQ66" i="47"/>
  <c r="FF66" i="47"/>
  <c r="FD66" i="47"/>
  <c r="FE66" i="47"/>
  <c r="JQ66" i="47"/>
  <c r="JS66" i="47"/>
  <c r="JR66" i="47"/>
  <c r="HR59" i="47"/>
  <c r="HQ59" i="47"/>
  <c r="HS59" i="47"/>
  <c r="IE59" i="47"/>
  <c r="ID59" i="47"/>
  <c r="IF59" i="47"/>
  <c r="CR59" i="47"/>
  <c r="CQ59" i="47"/>
  <c r="CS59" i="47"/>
  <c r="JO139" i="47"/>
  <c r="HO136" i="47"/>
  <c r="GO133" i="47"/>
  <c r="GB134" i="47"/>
  <c r="IO135" i="47"/>
  <c r="AB134" i="47"/>
  <c r="KB133" i="47"/>
  <c r="GB133" i="47"/>
  <c r="CB136" i="47"/>
  <c r="DO136" i="47"/>
  <c r="LQ83" i="47"/>
  <c r="KB141" i="47"/>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JF37" i="47"/>
  <c r="JD37" i="47"/>
  <c r="JE37" i="47"/>
  <c r="DQ37" i="47"/>
  <c r="DS37" i="47"/>
  <c r="DR37" i="47"/>
  <c r="R37" i="47"/>
  <c r="Q37" i="47"/>
  <c r="S37" i="47"/>
  <c r="DS9" i="47"/>
  <c r="DQ9" i="47"/>
  <c r="DR9" i="47"/>
  <c r="JF9" i="47"/>
  <c r="JE9" i="47"/>
  <c r="JD9" i="47"/>
  <c r="KR9" i="47"/>
  <c r="KS9" i="47"/>
  <c r="KQ9" i="47"/>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ED66" i="47"/>
  <c r="EE66" i="47"/>
  <c r="EF66" i="47"/>
  <c r="KD66" i="47"/>
  <c r="KE66" i="47"/>
  <c r="KF66" i="47"/>
  <c r="BR66" i="47"/>
  <c r="BS66" i="47"/>
  <c r="BQ66" i="47"/>
  <c r="R25" i="28"/>
  <c r="S25" i="28"/>
  <c r="Q25" i="28"/>
  <c r="JD59" i="47"/>
  <c r="JE59" i="47"/>
  <c r="JF59" i="47"/>
  <c r="AE59" i="47"/>
  <c r="AF59" i="47"/>
  <c r="AD59" i="47"/>
  <c r="GS59" i="47"/>
  <c r="GQ59" i="47"/>
  <c r="GR59" i="47"/>
  <c r="GB136" i="47"/>
  <c r="JB133" i="47"/>
  <c r="O135" i="47"/>
  <c r="DO138" i="47"/>
  <c r="FF37" i="47"/>
  <c r="FE37" i="47"/>
  <c r="FD37" i="47"/>
  <c r="CE37" i="47"/>
  <c r="CD37" i="47"/>
  <c r="CF37" i="47"/>
  <c r="FR9" i="47"/>
  <c r="FQ9" i="47"/>
  <c r="FS9" i="47"/>
  <c r="KD32" i="47"/>
  <c r="KE32" i="47"/>
  <c r="KF32" i="47"/>
  <c r="KS45" i="47"/>
  <c r="KR45" i="47"/>
  <c r="KQ45" i="47"/>
  <c r="DS65" i="47"/>
  <c r="DR65" i="47"/>
  <c r="DQ65" i="47"/>
  <c r="GB139" i="47"/>
  <c r="MB139" i="47"/>
  <c r="KB134" i="47"/>
  <c r="IO136" i="47"/>
  <c r="EB139" i="47"/>
  <c r="HB133" i="47"/>
  <c r="AR37" i="47"/>
  <c r="AS37" i="47"/>
  <c r="AQ37" i="47"/>
  <c r="KR37" i="47"/>
  <c r="KS37" i="47"/>
  <c r="KQ37" i="47"/>
  <c r="LR37" i="47"/>
  <c r="LS37" i="47"/>
  <c r="LQ37" i="47"/>
  <c r="IR9" i="47"/>
  <c r="IS9" i="47"/>
  <c r="IQ9" i="47"/>
  <c r="IF9" i="47"/>
  <c r="ID9" i="47"/>
  <c r="IE9" i="47"/>
  <c r="CQ9" i="47"/>
  <c r="CS9" i="47"/>
  <c r="CR9" i="47"/>
  <c r="MD9" i="47"/>
  <c r="MF9" i="47"/>
  <c r="ME9" i="47"/>
  <c r="FE32" i="47"/>
  <c r="FF32" i="47"/>
  <c r="FD32" i="47"/>
  <c r="FS32" i="47"/>
  <c r="FR32" i="47"/>
  <c r="FQ32" i="47"/>
  <c r="GS32" i="47"/>
  <c r="GR32" i="47"/>
  <c r="GQ32" i="47"/>
  <c r="KF45" i="47"/>
  <c r="KE45" i="47"/>
  <c r="KD45" i="47"/>
  <c r="Q45" i="47"/>
  <c r="R45" i="47"/>
  <c r="S45" i="47"/>
  <c r="FR45" i="47"/>
  <c r="FQ45" i="47"/>
  <c r="FS45" i="47"/>
  <c r="JS45" i="47"/>
  <c r="JQ45" i="47"/>
  <c r="JR45" i="47"/>
  <c r="MF65" i="47"/>
  <c r="ME65" i="47"/>
  <c r="MD65" i="47"/>
  <c r="ED65" i="47"/>
  <c r="EF65" i="47"/>
  <c r="EE65" i="47"/>
  <c r="AR65" i="47"/>
  <c r="AQ65" i="47"/>
  <c r="AS65" i="47"/>
  <c r="LR66" i="47"/>
  <c r="LQ66" i="47"/>
  <c r="LS66" i="47"/>
  <c r="IF66" i="47"/>
  <c r="IE66" i="47"/>
  <c r="ID66" i="47"/>
  <c r="BF66" i="47"/>
  <c r="BE66" i="47"/>
  <c r="BD66" i="47"/>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EF38" i="47"/>
  <c r="EE38" i="47"/>
  <c r="ED38" i="47"/>
  <c r="LS38" i="47"/>
  <c r="LQ38" i="47"/>
  <c r="LR38" i="47"/>
  <c r="KQ38" i="47"/>
  <c r="KS38" i="47"/>
  <c r="KR38" i="47"/>
  <c r="HS7" i="47"/>
  <c r="HR7" i="47"/>
  <c r="HQ7" i="47"/>
  <c r="AS7" i="47"/>
  <c r="AQ7" i="47"/>
  <c r="AR7" i="47"/>
  <c r="GD7" i="47"/>
  <c r="GE7" i="47"/>
  <c r="GF7" i="47"/>
  <c r="FR36" i="47"/>
  <c r="FS36" i="47"/>
  <c r="FQ36" i="47"/>
  <c r="GS49" i="47"/>
  <c r="GR49" i="47"/>
  <c r="GQ49" i="47"/>
  <c r="CD43" i="47"/>
  <c r="CE43" i="47"/>
  <c r="CF43" i="47"/>
  <c r="ME83" i="47"/>
  <c r="E38" i="47"/>
  <c r="E38" i="28"/>
  <c r="AF11" i="47"/>
  <c r="AE11" i="47"/>
  <c r="AD11" i="47"/>
  <c r="IF36" i="47"/>
  <c r="IE36" i="47"/>
  <c r="ID36" i="47"/>
  <c r="GF36" i="47"/>
  <c r="GD36" i="47"/>
  <c r="GE36" i="47"/>
  <c r="Q30" i="47"/>
  <c r="S30" i="47"/>
  <c r="R30" i="47"/>
  <c r="BS25" i="47"/>
  <c r="BR25" i="47"/>
  <c r="BQ25" i="47"/>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Q38" i="28"/>
  <c r="S38" i="28"/>
  <c r="R38" i="28"/>
  <c r="Q81" i="28"/>
  <c r="R81" i="28"/>
  <c r="S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S73" i="47"/>
  <c r="Q73" i="47"/>
  <c r="R73" i="47"/>
  <c r="IQ17" i="47"/>
  <c r="IR17" i="47"/>
  <c r="IS17" i="47"/>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LR25" i="47"/>
  <c r="LS25" i="47"/>
  <c r="LQ25" i="47"/>
  <c r="ME25" i="47"/>
  <c r="MD25" i="47"/>
  <c r="MF25" i="47"/>
  <c r="LR49" i="47"/>
  <c r="LS49" i="47"/>
  <c r="LQ49" i="47"/>
  <c r="BS73" i="47"/>
  <c r="BR73" i="47"/>
  <c r="BQ73" i="47"/>
  <c r="ME23" i="47"/>
  <c r="MD23" i="47"/>
  <c r="MF23" i="47"/>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JR25" i="47"/>
  <c r="JS25" i="47"/>
  <c r="JQ25" i="47"/>
  <c r="Q25" i="47"/>
  <c r="R25" i="47"/>
  <c r="S25" i="47"/>
  <c r="FQ25" i="47"/>
  <c r="FR25" i="47"/>
  <c r="FS25" i="47"/>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FF11" i="47"/>
  <c r="FE11" i="47"/>
  <c r="FD11" i="47"/>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HQ38" i="47"/>
  <c r="HS38" i="47"/>
  <c r="HR38" i="47"/>
  <c r="GR38" i="47"/>
  <c r="GQ38" i="47"/>
  <c r="GS38" i="47"/>
  <c r="HF38" i="47"/>
  <c r="HE38" i="47"/>
  <c r="HD38" i="47"/>
  <c r="KS7" i="47"/>
  <c r="KQ7" i="47"/>
  <c r="KR7" i="47"/>
  <c r="JF7" i="47"/>
  <c r="JE7" i="47"/>
  <c r="JD7" i="47"/>
  <c r="KD7" i="47"/>
  <c r="KF7" i="47"/>
  <c r="KE7" i="47"/>
  <c r="DS7" i="47"/>
  <c r="DR7" i="47"/>
  <c r="DQ7" i="47"/>
  <c r="FR81" i="47"/>
  <c r="FS81" i="47"/>
  <c r="FQ81" i="47"/>
  <c r="LD36" i="47"/>
  <c r="LE36" i="47"/>
  <c r="LF36" i="47"/>
  <c r="JQ73" i="47"/>
  <c r="JS73" i="47"/>
  <c r="JR73" i="47"/>
  <c r="S57" i="28"/>
  <c r="Q57" i="28"/>
  <c r="R57" i="28"/>
  <c r="AS57" i="47"/>
  <c r="AQ57" i="47"/>
  <c r="AR57" i="47"/>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AE25" i="47"/>
  <c r="AF25" i="47"/>
  <c r="AD25" i="47"/>
  <c r="DD25" i="47"/>
  <c r="DF25" i="47"/>
  <c r="DE25" i="47"/>
  <c r="ED25" i="47"/>
  <c r="EE25" i="47"/>
  <c r="EF25" i="47"/>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ID11" i="47"/>
  <c r="IE11" i="47"/>
  <c r="IF11" i="47"/>
  <c r="R43" i="28"/>
  <c r="S43" i="28"/>
  <c r="Q43"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JS38" i="47"/>
  <c r="JR38" i="47"/>
  <c r="JQ38" i="47"/>
  <c r="GE38" i="47"/>
  <c r="GD38" i="47"/>
  <c r="GF38" i="47"/>
  <c r="AE38" i="47"/>
  <c r="AD38" i="47"/>
  <c r="AF38" i="47"/>
  <c r="GR7" i="47"/>
  <c r="GQ7" i="47"/>
  <c r="GS7" i="47"/>
  <c r="FD7" i="47"/>
  <c r="FF7" i="47"/>
  <c r="FE7" i="47"/>
  <c r="BE7" i="47"/>
  <c r="BF7" i="47"/>
  <c r="BD7" i="47"/>
  <c r="BQ11" i="47"/>
  <c r="BR11" i="47"/>
  <c r="BS11" i="47"/>
  <c r="LS11" i="47"/>
  <c r="LR11" i="47"/>
  <c r="LQ11" i="47"/>
  <c r="JR30" i="47"/>
  <c r="JQ30" i="47"/>
  <c r="JS30" i="47"/>
  <c r="DQ25" i="47"/>
  <c r="DS25" i="47"/>
  <c r="DR25" i="47"/>
  <c r="ED49" i="47"/>
  <c r="EF49" i="47"/>
  <c r="EE49" i="47"/>
  <c r="IF17" i="47"/>
  <c r="IE17" i="47"/>
  <c r="ID17" i="47"/>
  <c r="LS16" i="47"/>
  <c r="LQ16" i="47"/>
  <c r="LR16" i="47"/>
  <c r="S85" i="28"/>
  <c r="EQ83" i="47"/>
  <c r="L65" i="28"/>
  <c r="D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MF38" i="47"/>
  <c r="ME38" i="47"/>
  <c r="MD38" i="47"/>
  <c r="LF38" i="47"/>
  <c r="LD38" i="47"/>
  <c r="LE38" i="47"/>
  <c r="CE38" i="47"/>
  <c r="CD38" i="47"/>
  <c r="CF38" i="47"/>
  <c r="DD7" i="47"/>
  <c r="DE7" i="47"/>
  <c r="DF7" i="47"/>
  <c r="EF7" i="47"/>
  <c r="ED7" i="47"/>
  <c r="EE7" i="47"/>
  <c r="FQ7" i="47"/>
  <c r="FR7" i="47"/>
  <c r="FS7" i="47"/>
  <c r="IS30" i="47"/>
  <c r="IR30" i="47"/>
  <c r="IQ30" i="47"/>
  <c r="BD25" i="47"/>
  <c r="BF25" i="47"/>
  <c r="BE25" i="47"/>
  <c r="AD73" i="47"/>
  <c r="AE73" i="47"/>
  <c r="AF73" i="47"/>
  <c r="R85" i="28"/>
  <c r="KQ87" i="47"/>
  <c r="ER83" i="47"/>
  <c r="O144" i="47"/>
  <c r="MB144" i="47"/>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DE38" i="47"/>
  <c r="DD38" i="47"/>
  <c r="DF38" i="47"/>
  <c r="IF38" i="47"/>
  <c r="IE38" i="47"/>
  <c r="ID38" i="47"/>
  <c r="Q38" i="47"/>
  <c r="R38" i="47"/>
  <c r="S38" i="47"/>
  <c r="LR7" i="47"/>
  <c r="LQ7" i="47"/>
  <c r="LS7" i="47"/>
  <c r="IR7" i="47"/>
  <c r="IQ7" i="47"/>
  <c r="IS7" i="47"/>
  <c r="S7" i="47"/>
  <c r="Q7" i="47"/>
  <c r="R7" i="47"/>
  <c r="ES81" i="47"/>
  <c r="ER81" i="47"/>
  <c r="EQ81" i="47"/>
  <c r="LF30" i="47"/>
  <c r="LE30" i="47"/>
  <c r="LD30" i="47"/>
  <c r="DR49" i="47"/>
  <c r="DS49" i="47"/>
  <c r="DQ49" i="47"/>
  <c r="MF16" i="47"/>
  <c r="MD16" i="47"/>
  <c r="ME16" i="47"/>
  <c r="JQ43" i="47"/>
  <c r="JR43" i="47"/>
  <c r="JS43" i="47"/>
  <c r="KS87" i="47"/>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Q23" i="28"/>
  <c r="S23" i="28"/>
  <c r="R23" i="28"/>
  <c r="IS38" i="47"/>
  <c r="IQ38" i="47"/>
  <c r="IR38" i="47"/>
  <c r="AR38" i="47"/>
  <c r="AS38" i="47"/>
  <c r="AQ38" i="47"/>
  <c r="BE38" i="47"/>
  <c r="BD38" i="47"/>
  <c r="BF38" i="47"/>
  <c r="JD38" i="47"/>
  <c r="JF38" i="47"/>
  <c r="JE38" i="47"/>
  <c r="MF7" i="47"/>
  <c r="MD7" i="47"/>
  <c r="ME7" i="47"/>
  <c r="AE7" i="47"/>
  <c r="AD7" i="47"/>
  <c r="AF7" i="47"/>
  <c r="LE7" i="47"/>
  <c r="LD7" i="47"/>
  <c r="LF7" i="47"/>
  <c r="HE11" i="47"/>
  <c r="HD11" i="47"/>
  <c r="HF11" i="47"/>
  <c r="IR25" i="47"/>
  <c r="IQ25" i="47"/>
  <c r="IS25" i="47"/>
  <c r="BQ17" i="47"/>
  <c r="BR17" i="47"/>
  <c r="BS17" i="47"/>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LF25" i="47"/>
  <c r="LE25" i="47"/>
  <c r="LD25" i="47"/>
  <c r="HF25" i="47"/>
  <c r="HE25" i="47"/>
  <c r="HD25" i="47"/>
  <c r="CD25" i="47"/>
  <c r="CE25" i="47"/>
  <c r="CF25" i="47"/>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S73" i="28"/>
  <c r="Q73" i="28"/>
  <c r="R73"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BQ38" i="47"/>
  <c r="BR38" i="47"/>
  <c r="BS38" i="47"/>
  <c r="KE38" i="47"/>
  <c r="KD38" i="47"/>
  <c r="KF38" i="47"/>
  <c r="FE38" i="47"/>
  <c r="FF38" i="47"/>
  <c r="FD38" i="47"/>
  <c r="CS38" i="47"/>
  <c r="CQ38" i="47"/>
  <c r="CR38" i="47"/>
  <c r="BQ7" i="47"/>
  <c r="BS7" i="47"/>
  <c r="BR7" i="47"/>
  <c r="CF7" i="47"/>
  <c r="CD7" i="47"/>
  <c r="CE7" i="47"/>
  <c r="CS7" i="47"/>
  <c r="CR7" i="47"/>
  <c r="CQ7" i="47"/>
  <c r="BR31" i="47"/>
  <c r="BQ31" i="47"/>
  <c r="BS31" i="47"/>
  <c r="AS24" i="47"/>
  <c r="AR24" i="47"/>
  <c r="AQ24" i="47"/>
  <c r="HF83" i="47"/>
  <c r="CB144" i="47"/>
  <c r="FF83" i="47"/>
  <c r="DF31" i="47"/>
  <c r="DE31" i="47"/>
  <c r="DD31" i="47"/>
  <c r="KR31" i="47"/>
  <c r="KS31" i="47"/>
  <c r="KQ31" i="47"/>
  <c r="DS31" i="47"/>
  <c r="DR31" i="47"/>
  <c r="DQ31" i="47"/>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GE31" i="47"/>
  <c r="GD31" i="47"/>
  <c r="GF31" i="47"/>
  <c r="LQ34" i="47"/>
  <c r="LR34" i="47"/>
  <c r="LS34" i="47"/>
  <c r="AF24" i="47"/>
  <c r="AE24" i="47"/>
  <c r="AD24" i="47"/>
  <c r="FF64" i="47"/>
  <c r="FE64" i="47"/>
  <c r="FD64" i="47"/>
  <c r="FS31" i="47"/>
  <c r="FR31" i="47"/>
  <c r="FQ31" i="47"/>
  <c r="HF31" i="47"/>
  <c r="HD31" i="47"/>
  <c r="HE31" i="47"/>
  <c r="IE31" i="47"/>
  <c r="IF31" i="47"/>
  <c r="ID31" i="47"/>
  <c r="ME31" i="47"/>
  <c r="MF31" i="47"/>
  <c r="MD31" i="47"/>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EE83" i="47"/>
  <c r="R77" i="28"/>
  <c r="Q77" i="28"/>
  <c r="S77" i="28"/>
  <c r="FD31" i="47"/>
  <c r="FF31" i="47"/>
  <c r="FE31" i="47"/>
  <c r="CQ31" i="47"/>
  <c r="CS31" i="47"/>
  <c r="CR31" i="47"/>
  <c r="S31" i="47"/>
  <c r="Q31" i="47"/>
  <c r="R31" i="47"/>
  <c r="LQ31" i="47"/>
  <c r="LS31" i="47"/>
  <c r="LR31" i="47"/>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GQ34" i="47"/>
  <c r="GR34" i="47"/>
  <c r="GS34" i="47"/>
  <c r="R15" i="28"/>
  <c r="S15" i="28"/>
  <c r="Q15" i="28"/>
  <c r="EB141" i="47"/>
  <c r="CB142" i="47"/>
  <c r="MB142" i="47"/>
  <c r="IR31" i="47"/>
  <c r="IQ31" i="47"/>
  <c r="IS31" i="47"/>
  <c r="GS31" i="47"/>
  <c r="GQ31" i="47"/>
  <c r="GR31" i="47"/>
  <c r="CE31" i="47"/>
  <c r="CD31" i="47"/>
  <c r="CF31" i="47"/>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CD34" i="47"/>
  <c r="CE34" i="47"/>
  <c r="CF34" i="47"/>
  <c r="IS64" i="47"/>
  <c r="IR64" i="47"/>
  <c r="IQ64" i="47"/>
  <c r="P131" i="28"/>
  <c r="HQ31" i="47"/>
  <c r="HS31" i="47"/>
  <c r="HR31" i="47"/>
  <c r="ER31" i="47"/>
  <c r="EQ31" i="47"/>
  <c r="ES31" i="47"/>
  <c r="JS31" i="47"/>
  <c r="JQ31" i="47"/>
  <c r="JR31" i="47"/>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LF24" i="47"/>
  <c r="LD24" i="47"/>
  <c r="LE24" i="47"/>
  <c r="JE64" i="47"/>
  <c r="JD64" i="47"/>
  <c r="JF64" i="47"/>
  <c r="FE83" i="47"/>
  <c r="Z26" i="64"/>
  <c r="JF31" i="47"/>
  <c r="JD31" i="47"/>
  <c r="JE31" i="47"/>
  <c r="KF31" i="47"/>
  <c r="KD31" i="47"/>
  <c r="KE31" i="47"/>
  <c r="LD31" i="47"/>
  <c r="LF31" i="47"/>
  <c r="LE31" i="47"/>
  <c r="Q16" i="28"/>
  <c r="R16" i="28"/>
  <c r="S16"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F31" i="47"/>
  <c r="EE31" i="47"/>
  <c r="ED31" i="47"/>
  <c r="HR24" i="47"/>
  <c r="HQ24" i="47"/>
  <c r="HS24" i="47"/>
  <c r="GE64" i="47"/>
  <c r="GD64" i="47"/>
  <c r="GF64" i="47"/>
  <c r="S11" i="28"/>
  <c r="Q11" i="28"/>
  <c r="R11" i="28"/>
  <c r="BF31" i="47"/>
  <c r="BE31" i="47"/>
  <c r="BD31" i="47"/>
  <c r="AQ31" i="47"/>
  <c r="AR31" i="47"/>
  <c r="AS31" i="47"/>
  <c r="AE31" i="47"/>
  <c r="AF31" i="47"/>
  <c r="AD31" i="47"/>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ED83" i="47"/>
  <c r="E62" i="47"/>
  <c r="E62" i="28"/>
  <c r="HE83" i="47"/>
  <c r="Q9" i="28"/>
  <c r="R9" i="28"/>
  <c r="S9" i="28"/>
  <c r="BQ83" i="47"/>
  <c r="BR83" i="47"/>
  <c r="C35" i="47"/>
  <c r="C35" i="28"/>
  <c r="Q6" i="28"/>
  <c r="S6" i="28"/>
  <c r="R6" i="28"/>
  <c r="S10" i="28"/>
  <c r="R10" i="28"/>
  <c r="Q10" i="28"/>
  <c r="E52" i="47"/>
  <c r="E52" i="28"/>
  <c r="T26" i="64"/>
  <c r="DB133" i="47"/>
  <c r="EB134" i="47"/>
  <c r="HB136" i="47"/>
  <c r="CO139" i="47"/>
  <c r="E43" i="47"/>
  <c r="E43" i="28"/>
  <c r="J52" i="28"/>
  <c r="B52" i="28"/>
  <c r="C71" i="28"/>
  <c r="Z30" i="66"/>
  <c r="T24" i="66"/>
  <c r="C71" i="47"/>
  <c r="Z24" i="66"/>
  <c r="Z28" i="70"/>
  <c r="E27" i="47"/>
  <c r="E27" i="28"/>
  <c r="T22" i="70"/>
  <c r="Z22" i="70"/>
  <c r="C13" i="47"/>
  <c r="C13"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J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88" i="28"/>
  <c r="C88"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49" i="47"/>
  <c r="C49" i="28"/>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C73" i="47"/>
  <c r="C73" i="28"/>
  <c r="Z32" i="66"/>
  <c r="Z26" i="66"/>
  <c r="T26" i="66"/>
  <c r="E18" i="47"/>
  <c r="E18" i="28"/>
  <c r="O143" i="47"/>
  <c r="CB141" i="47"/>
  <c r="E67" i="47"/>
  <c r="E67" i="28"/>
  <c r="C14" i="47"/>
  <c r="BB142" i="47"/>
  <c r="GB141" i="47"/>
  <c r="GO142" i="47"/>
  <c r="EO133" i="47"/>
  <c r="IO133" i="47"/>
  <c r="HO133" i="47"/>
  <c r="CB135" i="47"/>
  <c r="JO138" i="47"/>
  <c r="BB138" i="47"/>
  <c r="AO139" i="47"/>
  <c r="FO139" i="47"/>
  <c r="E64" i="47"/>
  <c r="E64" i="28"/>
  <c r="HO134" i="47"/>
  <c r="JB135" i="47"/>
  <c r="LB139" i="47"/>
  <c r="HO135" i="47"/>
  <c r="GO141" i="47"/>
  <c r="E17" i="47"/>
  <c r="E17" i="28"/>
  <c r="EO143" i="47"/>
  <c r="AB143" i="47"/>
  <c r="R84" i="28"/>
  <c r="S84" i="28"/>
  <c r="Q84" i="28"/>
  <c r="C48" i="47"/>
  <c r="C48" i="28"/>
  <c r="C51" i="47"/>
  <c r="C51" i="28"/>
  <c r="Z31" i="64"/>
  <c r="Z25" i="64"/>
  <c r="T25" i="64"/>
  <c r="E53" i="47"/>
  <c r="E53" i="28"/>
  <c r="Z27" i="64"/>
  <c r="Z33" i="64"/>
  <c r="T27" i="64"/>
  <c r="JO135" i="47"/>
  <c r="HO138" i="47"/>
  <c r="CO135" i="47"/>
  <c r="FO134" i="47"/>
  <c r="DB135" i="47"/>
  <c r="IB135" i="47"/>
  <c r="GO134" i="47"/>
  <c r="FO141" i="47"/>
  <c r="E44" i="47"/>
  <c r="E44" i="28"/>
  <c r="Z31" i="71"/>
  <c r="Z25" i="71"/>
  <c r="T25" i="71"/>
  <c r="C21" i="47"/>
  <c r="C21" i="28"/>
  <c r="HB142" i="47"/>
  <c r="C8" i="47"/>
  <c r="C8" i="28"/>
  <c r="Z24" i="61"/>
  <c r="T24" i="61"/>
  <c r="E72" i="47"/>
  <c r="E72" i="28"/>
  <c r="JO143" i="47"/>
  <c r="JB143" i="47"/>
  <c r="LO144" i="47"/>
  <c r="KO143" i="47"/>
  <c r="E8" i="47"/>
  <c r="E8" i="28"/>
  <c r="Z30" i="61"/>
  <c r="FO143" i="47"/>
  <c r="IB143" i="47"/>
  <c r="DO141" i="47"/>
  <c r="JS87" i="47"/>
  <c r="JR87" i="47"/>
  <c r="JQ87" i="47"/>
  <c r="KO144" i="47"/>
  <c r="HD87" i="47"/>
  <c r="HE87" i="47"/>
  <c r="HF87" i="47"/>
  <c r="W49" i="33"/>
  <c r="W47" i="33"/>
  <c r="W48" i="33"/>
  <c r="X54" i="33"/>
  <c r="W54" i="33"/>
  <c r="E87" i="47"/>
  <c r="E87" i="28"/>
  <c r="CO142" i="47"/>
  <c r="C87"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43" i="47"/>
  <c r="C43" i="28"/>
  <c r="Z30" i="71"/>
  <c r="Z24" i="71"/>
  <c r="T24" i="71"/>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T27" i="69"/>
  <c r="C67" i="47"/>
  <c r="C67" i="28"/>
  <c r="Z27" i="69"/>
  <c r="Z33" i="69"/>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22" i="47"/>
  <c r="E22"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Z23" i="62" l="1"/>
  <c r="C14" i="28"/>
  <c r="E14" i="47"/>
  <c r="KY14" i="47" s="1"/>
  <c r="T23" i="64"/>
  <c r="Z23" i="64"/>
  <c r="D14" i="28"/>
  <c r="T23" i="62"/>
  <c r="Z29" i="64"/>
  <c r="E36" i="28"/>
  <c r="E49" i="28"/>
  <c r="Z29" i="62"/>
  <c r="Z32" i="67"/>
  <c r="C64" i="47"/>
  <c r="T26" i="67"/>
  <c r="T24" i="69"/>
  <c r="Z27" i="71"/>
  <c r="Z26" i="67"/>
  <c r="Z24" i="69"/>
  <c r="H5" i="69"/>
  <c r="Z30" i="69"/>
  <c r="IY14" i="47"/>
  <c r="Z30" i="63"/>
  <c r="T24" i="65"/>
  <c r="Z24" i="65"/>
  <c r="Z30" i="65"/>
  <c r="C57" i="28"/>
  <c r="Z30" i="64"/>
  <c r="E50" i="28"/>
  <c r="D14" i="68"/>
  <c r="Q5" i="68"/>
  <c r="D35" i="48"/>
  <c r="D60" i="48"/>
  <c r="AF23" i="33"/>
  <c r="P24" i="68" s="1"/>
  <c r="D30" i="48"/>
  <c r="AF13" i="33"/>
  <c r="P22" i="68" s="1"/>
  <c r="E88" i="48"/>
  <c r="AG33" i="33"/>
  <c r="Q26" i="68" s="1"/>
  <c r="L14" i="28"/>
  <c r="R130" i="28"/>
  <c r="R131" i="28" s="1"/>
  <c r="S130" i="28"/>
  <c r="Q130" i="28"/>
  <c r="Q131" i="28" s="1"/>
  <c r="E42" i="47"/>
  <c r="KL14" i="47"/>
  <c r="EL14" i="47"/>
  <c r="HL14" i="47"/>
  <c r="GY14" i="47"/>
  <c r="AY14" i="47"/>
  <c r="C10" i="47"/>
  <c r="Z26" i="61"/>
  <c r="Z32" i="61"/>
  <c r="C10" i="28"/>
  <c r="C22" i="28"/>
  <c r="C41" i="28"/>
  <c r="C22" i="47"/>
  <c r="HW22" i="47" s="1"/>
  <c r="T24" i="63"/>
  <c r="U24" i="63" s="1"/>
  <c r="Z24" i="63"/>
  <c r="DV52" i="47"/>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E48" i="28"/>
  <c r="D36" i="48"/>
  <c r="K16" i="28"/>
  <c r="BL14" i="47"/>
  <c r="LL14" i="47"/>
  <c r="FL14" i="47"/>
  <c r="BY14" i="47"/>
  <c r="IL14" i="47"/>
  <c r="GL14" i="47"/>
  <c r="LY14" i="47"/>
  <c r="DY14" i="47"/>
  <c r="CL14" i="47"/>
  <c r="JY14" i="47"/>
  <c r="AL14" i="47"/>
  <c r="Z32" i="71"/>
  <c r="E60" i="28"/>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K14" i="28"/>
  <c r="AD117" i="47"/>
  <c r="AE117" i="47" s="1"/>
  <c r="JD117" i="47"/>
  <c r="JE117" i="47" s="1"/>
  <c r="ED119" i="47"/>
  <c r="EE119" i="47" s="1"/>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DX69" i="47"/>
  <c r="K69" i="28"/>
  <c r="FX69" i="47"/>
  <c r="EK69" i="47"/>
  <c r="CX69" i="47"/>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Z33" i="65"/>
  <c r="N8" i="70"/>
  <c r="H7" i="70"/>
  <c r="Z24" i="70"/>
  <c r="E45" i="47"/>
  <c r="JL45" i="47" s="1"/>
  <c r="Z27" i="65"/>
  <c r="N7" i="70"/>
  <c r="O8" i="70"/>
  <c r="H6" i="70"/>
  <c r="C60" i="28"/>
  <c r="I5" i="70"/>
  <c r="I7" i="70"/>
  <c r="M7" i="70"/>
  <c r="AQ116" i="47"/>
  <c r="AR116" i="47" s="1"/>
  <c r="N5" i="70"/>
  <c r="I6" i="70"/>
  <c r="M6" i="70"/>
  <c r="I8" i="70"/>
  <c r="Z30" i="70"/>
  <c r="T26" i="71"/>
  <c r="AA32" i="71" s="1"/>
  <c r="M8" i="70"/>
  <c r="H8" i="70"/>
  <c r="M5" i="71"/>
  <c r="GD117" i="47"/>
  <c r="GE117" i="47" s="1"/>
  <c r="HK69" i="47"/>
  <c r="BK69" i="47"/>
  <c r="FK69" i="47"/>
  <c r="EX69" i="47"/>
  <c r="LK69" i="47"/>
  <c r="KK69" i="47"/>
  <c r="JX69" i="47"/>
  <c r="LF119" i="47"/>
  <c r="X69" i="47"/>
  <c r="BX69" i="47"/>
  <c r="JK69" i="47"/>
  <c r="KX69" i="47"/>
  <c r="EF117" i="47"/>
  <c r="I70" i="28"/>
  <c r="LX69" i="47"/>
  <c r="K69" i="47"/>
  <c r="ID118" i="47"/>
  <c r="IE118" i="47" s="1"/>
  <c r="IK69" i="47"/>
  <c r="GK69" i="47"/>
  <c r="AK69" i="47"/>
  <c r="GX69" i="47"/>
  <c r="DK69" i="47"/>
  <c r="IX69" i="47"/>
  <c r="CK69" i="47"/>
  <c r="AX69" i="47"/>
  <c r="IF117" i="47"/>
  <c r="IS116" i="47"/>
  <c r="AF119" i="47"/>
  <c r="CS119" i="47"/>
  <c r="DF116" i="47"/>
  <c r="LQ118" i="47"/>
  <c r="LR118" i="47" s="1"/>
  <c r="S116" i="47"/>
  <c r="Z32" i="63"/>
  <c r="C24" i="47"/>
  <c r="KJ24" i="47" s="1"/>
  <c r="Z30" i="67"/>
  <c r="I5" i="67"/>
  <c r="AK41" i="47"/>
  <c r="O6" i="67"/>
  <c r="Z33" i="67"/>
  <c r="K41" i="28"/>
  <c r="ID119" i="47"/>
  <c r="IE119" i="47" s="1"/>
  <c r="O5" i="67"/>
  <c r="CX41" i="47"/>
  <c r="JX41" i="47"/>
  <c r="LX41" i="47"/>
  <c r="KK41" i="47"/>
  <c r="Z26" i="63"/>
  <c r="ES116" i="47"/>
  <c r="Z24" i="67"/>
  <c r="KX41" i="47"/>
  <c r="IK41" i="47"/>
  <c r="FX41" i="47"/>
  <c r="BX41" i="47"/>
  <c r="DX41" i="47"/>
  <c r="GK41" i="47"/>
  <c r="AX41" i="47"/>
  <c r="BK41" i="47"/>
  <c r="H6" i="63"/>
  <c r="I6" i="63"/>
  <c r="I7" i="63"/>
  <c r="J7" i="63" s="1"/>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O7" i="69"/>
  <c r="T23" i="71"/>
  <c r="AA29" i="71" s="1"/>
  <c r="N5" i="65"/>
  <c r="H7" i="72"/>
  <c r="M7" i="69"/>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7" i="69"/>
  <c r="I6" i="71"/>
  <c r="O5" i="71"/>
  <c r="N8" i="66"/>
  <c r="HD118" i="47"/>
  <c r="HE118" i="47" s="1"/>
  <c r="LF116" i="47"/>
  <c r="H6" i="66"/>
  <c r="M7" i="66"/>
  <c r="GS119" i="47"/>
  <c r="MF118" i="47"/>
  <c r="I8" i="69"/>
  <c r="H6" i="69"/>
  <c r="H7" i="71"/>
  <c r="N5" i="71"/>
  <c r="I5" i="69"/>
  <c r="N5" i="69"/>
  <c r="N7" i="66"/>
  <c r="O7" i="66"/>
  <c r="M6" i="66"/>
  <c r="T23" i="69"/>
  <c r="AA29" i="69" s="1"/>
  <c r="N6" i="69"/>
  <c r="H7" i="69"/>
  <c r="H6" i="71"/>
  <c r="O6" i="71"/>
  <c r="O5" i="69"/>
  <c r="Z23" i="69"/>
  <c r="O8" i="69"/>
  <c r="H5" i="71"/>
  <c r="N8" i="71"/>
  <c r="O8" i="71"/>
  <c r="M5" i="69"/>
  <c r="LF118" i="47"/>
  <c r="I5" i="66"/>
  <c r="N7" i="69"/>
  <c r="O6" i="66"/>
  <c r="H7" i="66"/>
  <c r="MF117" i="47"/>
  <c r="Z29" i="69"/>
  <c r="N8" i="69"/>
  <c r="I6" i="69"/>
  <c r="H8" i="71"/>
  <c r="H8" i="69"/>
  <c r="O7" i="71"/>
  <c r="M8" i="71"/>
  <c r="Z23" i="71"/>
  <c r="N6" i="66"/>
  <c r="N5" i="66"/>
  <c r="HS117" i="47"/>
  <c r="HQ118" i="47"/>
  <c r="HR118" i="47" s="1"/>
  <c r="H8" i="66"/>
  <c r="I7" i="66"/>
  <c r="I8" i="71"/>
  <c r="N6" i="71"/>
  <c r="M7" i="71"/>
  <c r="Z29" i="71"/>
  <c r="O8" i="66"/>
  <c r="I8" i="66"/>
  <c r="O6" i="69"/>
  <c r="M6" i="69"/>
  <c r="I7" i="71"/>
  <c r="N7" i="71"/>
  <c r="M6" i="71"/>
  <c r="M8" i="69"/>
  <c r="H5" i="68"/>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J27" i="28"/>
  <c r="B27" i="28"/>
  <c r="C58" i="47"/>
  <c r="C58" i="28"/>
  <c r="C36" i="47"/>
  <c r="C36" i="28"/>
  <c r="L71" i="28"/>
  <c r="D71" i="28"/>
  <c r="D73" i="28"/>
  <c r="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B15" i="28"/>
  <c r="J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J64" i="28"/>
  <c r="B64" i="28"/>
  <c r="GW64" i="47"/>
  <c r="GJ64" i="47"/>
  <c r="IW64" i="47"/>
  <c r="IJ64" i="47"/>
  <c r="EJ64" i="47"/>
  <c r="BJ64" i="47"/>
  <c r="W64" i="47"/>
  <c r="LJ64" i="47"/>
  <c r="HW64" i="47"/>
  <c r="DJ64" i="47"/>
  <c r="LW64" i="47"/>
  <c r="KJ64" i="47"/>
  <c r="JJ64" i="47"/>
  <c r="EW64" i="47"/>
  <c r="DW64" i="47"/>
  <c r="AW64" i="47"/>
  <c r="JW64" i="47"/>
  <c r="FJ64" i="47"/>
  <c r="CW64" i="47"/>
  <c r="J64" i="47"/>
  <c r="CJ64" i="47"/>
  <c r="KW64" i="47"/>
  <c r="FW64" i="47"/>
  <c r="AJ64" i="47"/>
  <c r="BW64" i="47"/>
  <c r="HJ64" i="47"/>
  <c r="B64" i="47"/>
  <c r="D30" i="28"/>
  <c r="L30" i="28"/>
  <c r="L23" i="28"/>
  <c r="D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L74" i="28"/>
  <c r="D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CY7" i="47"/>
  <c r="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J7" i="28"/>
  <c r="B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IY42" i="47"/>
  <c r="DL42" i="47"/>
  <c r="DY42" i="47"/>
  <c r="JL42" i="47"/>
  <c r="JY42" i="47"/>
  <c r="FY42" i="47"/>
  <c r="HL42" i="47"/>
  <c r="L42" i="47"/>
  <c r="AY42" i="47"/>
  <c r="HY42" i="47"/>
  <c r="GY42" i="47"/>
  <c r="LY42" i="47"/>
  <c r="AL42" i="47"/>
  <c r="EL42" i="47"/>
  <c r="EY42" i="47"/>
  <c r="D42" i="47"/>
  <c r="BY42" i="47"/>
  <c r="GL42" i="47"/>
  <c r="LL42" i="47"/>
  <c r="BL42" i="47"/>
  <c r="KL42" i="47"/>
  <c r="Y42" i="47"/>
  <c r="CY42" i="47"/>
  <c r="IL42" i="47"/>
  <c r="CL42" i="47"/>
  <c r="FL42" i="47"/>
  <c r="KY42" i="47"/>
  <c r="S131" i="28"/>
  <c r="K65" i="28"/>
  <c r="L38" i="28"/>
  <c r="D38" i="28"/>
  <c r="J44" i="28"/>
  <c r="B44" i="28"/>
  <c r="D42" i="28"/>
  <c r="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L52" i="28"/>
  <c r="D52" i="28"/>
  <c r="J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71" i="28"/>
  <c r="B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J13" i="28"/>
  <c r="B13" i="28"/>
  <c r="J10" i="28"/>
  <c r="B10" i="28"/>
  <c r="GJ10" i="47"/>
  <c r="FJ10" i="47"/>
  <c r="DW10" i="47"/>
  <c r="J10" i="47"/>
  <c r="GW10" i="47"/>
  <c r="CW10" i="47"/>
  <c r="BW10" i="47"/>
  <c r="AW10" i="47"/>
  <c r="W10" i="47"/>
  <c r="DJ10" i="47"/>
  <c r="EW10" i="47"/>
  <c r="CJ10" i="47"/>
  <c r="HJ10" i="47"/>
  <c r="EJ10" i="47"/>
  <c r="BJ10" i="47"/>
  <c r="FW10" i="47"/>
  <c r="AJ10" i="47"/>
  <c r="JW10" i="47"/>
  <c r="IW10" i="47"/>
  <c r="IJ10" i="47"/>
  <c r="LW10" i="47"/>
  <c r="JJ10" i="47"/>
  <c r="HW10" i="47"/>
  <c r="B10" i="47"/>
  <c r="LJ10" i="47"/>
  <c r="KW10" i="47"/>
  <c r="KJ10"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I52" i="28"/>
  <c r="D27" i="28"/>
  <c r="L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I9" i="28"/>
  <c r="L10" i="28"/>
  <c r="D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6" i="28"/>
  <c r="B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L59" i="28"/>
  <c r="D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D83" i="28"/>
  <c r="L83" i="28"/>
  <c r="B49" i="28"/>
  <c r="J49" i="28"/>
  <c r="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L51" i="28"/>
  <c r="D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J84" i="28"/>
  <c r="L58" i="28"/>
  <c r="D58" i="28"/>
  <c r="L28" i="28"/>
  <c r="D28" i="28"/>
  <c r="EL34" i="47"/>
  <c r="DL34" i="47"/>
  <c r="KL34" i="47"/>
  <c r="J59" i="28"/>
  <c r="B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L34" i="28"/>
  <c r="L86" i="28"/>
  <c r="D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J20" i="28"/>
  <c r="L55" i="28"/>
  <c r="D55" i="28"/>
  <c r="J31" i="28"/>
  <c r="B31" i="28"/>
  <c r="B88" i="28"/>
  <c r="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J14" i="28"/>
  <c r="B14" i="28"/>
  <c r="J73" i="28"/>
  <c r="B73" i="28"/>
  <c r="U22" i="71"/>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D29" i="28"/>
  <c r="L29" i="28"/>
  <c r="L9" i="28"/>
  <c r="D9" i="28"/>
  <c r="D67" i="28"/>
  <c r="L67" i="28"/>
  <c r="AA30" i="65"/>
  <c r="V24" i="65"/>
  <c r="U24" i="65"/>
  <c r="AA24" i="65"/>
  <c r="V23" i="64"/>
  <c r="U23" i="64"/>
  <c r="AA23" i="64"/>
  <c r="AA29" i="64"/>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53" i="28"/>
  <c r="D66" i="28"/>
  <c r="L66" i="28"/>
  <c r="JY67" i="47"/>
  <c r="IL67" i="47"/>
  <c r="HY67" i="47"/>
  <c r="GY67" i="47"/>
  <c r="EL67" i="47"/>
  <c r="JL67" i="47"/>
  <c r="HL67" i="47"/>
  <c r="KL67" i="47"/>
  <c r="FL67" i="47"/>
  <c r="CY67" i="47"/>
  <c r="CL67" i="47"/>
  <c r="BY67" i="47"/>
  <c r="FY67" i="47"/>
  <c r="BL67" i="47"/>
  <c r="AY67" i="47"/>
  <c r="AL67" i="47"/>
  <c r="IY67" i="47"/>
  <c r="GL67" i="47"/>
  <c r="DL67" i="47"/>
  <c r="L67" i="47"/>
  <c r="Y67" i="47"/>
  <c r="DY67" i="47"/>
  <c r="EY67" i="47"/>
  <c r="KY67" i="47"/>
  <c r="LY67" i="47"/>
  <c r="D67" i="47"/>
  <c r="LL67" i="47"/>
  <c r="L18" i="28"/>
  <c r="D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L50" i="28"/>
  <c r="D50" i="28"/>
  <c r="V22" i="65"/>
  <c r="U22" i="65"/>
  <c r="AA28" i="65"/>
  <c r="AA22" i="65"/>
  <c r="V27" i="71"/>
  <c r="U27" i="71"/>
  <c r="AA33" i="71"/>
  <c r="AA27" i="71"/>
  <c r="AA23" i="62"/>
  <c r="U23" i="62"/>
  <c r="V23" i="62"/>
  <c r="AA29" i="62"/>
  <c r="U26" i="66"/>
  <c r="AA32" i="66"/>
  <c r="AA26" i="66"/>
  <c r="V26" i="66"/>
  <c r="L49" i="28"/>
  <c r="D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B55" i="28"/>
  <c r="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L64" i="28"/>
  <c r="D64" i="28"/>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L44" i="28"/>
  <c r="B48" i="28"/>
  <c r="J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L53" i="28"/>
  <c r="D53" i="28"/>
  <c r="J51" i="28"/>
  <c r="B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AA24" i="69"/>
  <c r="V24" i="69"/>
  <c r="U24" i="69"/>
  <c r="AA30" i="69"/>
  <c r="B21" i="28"/>
  <c r="J21" i="28"/>
  <c r="V25" i="71"/>
  <c r="U25" i="71"/>
  <c r="AA25" i="71"/>
  <c r="AA31" i="71"/>
  <c r="B16" i="28"/>
  <c r="J16" i="28"/>
  <c r="L17" i="28"/>
  <c r="D17" i="28"/>
  <c r="L25" i="28"/>
  <c r="D25" i="28"/>
  <c r="D32" i="28"/>
  <c r="L32" i="28"/>
  <c r="U27" i="69"/>
  <c r="V27" i="69"/>
  <c r="AA27" i="69"/>
  <c r="AA33" i="69"/>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B83" i="28"/>
  <c r="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J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B32" i="28"/>
  <c r="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J23" i="28"/>
  <c r="J62" i="28"/>
  <c r="B62" i="28"/>
  <c r="AA30" i="67"/>
  <c r="AA24" i="67"/>
  <c r="U24" i="67"/>
  <c r="V24" i="67"/>
  <c r="U24" i="71"/>
  <c r="V24" i="71"/>
  <c r="AA24" i="71"/>
  <c r="AA30" i="71"/>
  <c r="V27" i="70"/>
  <c r="U27" i="70"/>
  <c r="AA33" i="70"/>
  <c r="AA27" i="70"/>
  <c r="AA26" i="67"/>
  <c r="V26" i="67"/>
  <c r="U26" i="67"/>
  <c r="AA32"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76" i="28"/>
  <c r="D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V24" i="61"/>
  <c r="U24" i="61"/>
  <c r="AA30" i="61"/>
  <c r="AA24" i="61"/>
  <c r="L84" i="28"/>
  <c r="D84" i="28"/>
  <c r="B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B85" i="28"/>
  <c r="AA28" i="61"/>
  <c r="U22" i="61"/>
  <c r="AA22" i="61"/>
  <c r="V22" i="61"/>
  <c r="B87" i="28"/>
  <c r="J87" i="28"/>
  <c r="D36" i="28"/>
  <c r="L36" i="28"/>
  <c r="D63" i="28"/>
  <c r="L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B43" i="28"/>
  <c r="J43" i="28"/>
  <c r="J8" i="28"/>
  <c r="B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J67" i="28"/>
  <c r="B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D6" i="28"/>
  <c r="L6" i="28"/>
  <c r="L87" i="28"/>
  <c r="D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J65" i="28"/>
  <c r="B65" i="28"/>
  <c r="J66" i="28"/>
  <c r="B66" i="28"/>
  <c r="B86" i="28"/>
  <c r="J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D8" i="28"/>
  <c r="L8" i="28"/>
  <c r="D72" i="28"/>
  <c r="L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J79" i="28"/>
  <c r="AD114" i="47"/>
  <c r="AE114" i="47" s="1"/>
  <c r="AF114" i="47"/>
  <c r="IS111" i="47"/>
  <c r="IQ111" i="47"/>
  <c r="IR111" i="47" s="1"/>
  <c r="LQ112" i="47"/>
  <c r="LR112" i="47" s="1"/>
  <c r="LS112" i="47"/>
  <c r="D79" i="28"/>
  <c r="L79" i="28"/>
  <c r="HS107" i="47"/>
  <c r="HQ107" i="47"/>
  <c r="HP128" i="47"/>
  <c r="HP129" i="47" s="1"/>
  <c r="JF114" i="47"/>
  <c r="JD114" i="47"/>
  <c r="JE114" i="47" s="1"/>
  <c r="BS113" i="47"/>
  <c r="BQ113" i="47"/>
  <c r="BR113" i="47" s="1"/>
  <c r="V24" i="63"/>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B25" i="28"/>
  <c r="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B24" i="28"/>
  <c r="J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J80" i="28"/>
  <c r="D70" i="28"/>
  <c r="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78" i="28"/>
  <c r="B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J77" i="28"/>
  <c r="GD114" i="47"/>
  <c r="GE114" i="47" s="1"/>
  <c r="GF114" i="47"/>
  <c r="HQ114" i="47"/>
  <c r="HR114" i="47" s="1"/>
  <c r="HS114" i="47"/>
  <c r="BD107" i="47"/>
  <c r="BF107" i="47"/>
  <c r="BC128" i="47"/>
  <c r="BC129" i="47" s="1"/>
  <c r="V23" i="63"/>
  <c r="U23" i="63"/>
  <c r="AA23" i="63"/>
  <c r="AA29" i="63"/>
  <c r="D31" i="28"/>
  <c r="L31" i="28"/>
  <c r="LF111" i="47"/>
  <c r="LD111" i="47"/>
  <c r="LE111" i="47" s="1"/>
  <c r="DQ108" i="47"/>
  <c r="DR108" i="47" s="1"/>
  <c r="DS108" i="47"/>
  <c r="ES110" i="47"/>
  <c r="EQ110" i="47"/>
  <c r="ER110" i="47" s="1"/>
  <c r="LQ110" i="47"/>
  <c r="LR110" i="47" s="1"/>
  <c r="LS110" i="47"/>
  <c r="FD107" i="47"/>
  <c r="FF107" i="47"/>
  <c r="FC128" i="47"/>
  <c r="FC129" i="47" s="1"/>
  <c r="B74" i="28"/>
  <c r="J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L24" i="28"/>
  <c r="JD109" i="47"/>
  <c r="JE109" i="47" s="1"/>
  <c r="JF109" i="47"/>
  <c r="DF108" i="47"/>
  <c r="DD108" i="47"/>
  <c r="DE108" i="47" s="1"/>
  <c r="KD107" i="47"/>
  <c r="KF107" i="47"/>
  <c r="KC128" i="47"/>
  <c r="KC129" i="47" s="1"/>
  <c r="ED107" i="47"/>
  <c r="EF107" i="47"/>
  <c r="EC128" i="47"/>
  <c r="EC129" i="47" s="1"/>
  <c r="D37" i="28"/>
  <c r="L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J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J38" i="28"/>
  <c r="D35" i="28"/>
  <c r="L35" i="28"/>
  <c r="D21" i="28"/>
  <c r="L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LJ22" i="47"/>
  <c r="KW22" i="47"/>
  <c r="HJ22" i="47"/>
  <c r="GJ22" i="47"/>
  <c r="DJ22" i="47"/>
  <c r="BJ22" i="47"/>
  <c r="W22" i="47"/>
  <c r="D22" i="28"/>
  <c r="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B29" i="47"/>
  <c r="KW29" i="47"/>
  <c r="GW29" i="47"/>
  <c r="EW29" i="47"/>
  <c r="EJ29" i="47"/>
  <c r="BW29" i="47"/>
  <c r="BJ29" i="47"/>
  <c r="JF113" i="47"/>
  <c r="JD113" i="47"/>
  <c r="JE113" i="47" s="1"/>
  <c r="CQ114" i="47"/>
  <c r="CR114" i="47" s="1"/>
  <c r="CS114" i="47"/>
  <c r="GS112" i="47"/>
  <c r="GQ112" i="47"/>
  <c r="GR112" i="47" s="1"/>
  <c r="D20" i="28"/>
  <c r="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I8" i="68" l="1"/>
  <c r="CJ22" i="47"/>
  <c r="JW22" i="47"/>
  <c r="KJ22" i="47"/>
  <c r="BW22" i="47"/>
  <c r="DW22" i="47"/>
  <c r="IJ22" i="47"/>
  <c r="B22" i="47"/>
  <c r="CW22" i="47"/>
  <c r="FW22" i="47"/>
  <c r="IW22" i="47"/>
  <c r="LW22" i="47"/>
  <c r="AW22" i="47"/>
  <c r="EW22" i="47"/>
  <c r="JJ22" i="47"/>
  <c r="J22" i="47"/>
  <c r="GW22" i="47"/>
  <c r="EJ22" i="47"/>
  <c r="AJ22" i="47"/>
  <c r="FJ22" i="47"/>
  <c r="CW29" i="47"/>
  <c r="FW29" i="47"/>
  <c r="KJ29" i="47"/>
  <c r="AA28" i="71"/>
  <c r="FL34" i="47"/>
  <c r="CL34" i="47"/>
  <c r="GL34" i="47"/>
  <c r="CJ29" i="47"/>
  <c r="DJ29" i="47"/>
  <c r="GJ29" i="47"/>
  <c r="LJ29" i="47"/>
  <c r="AA22" i="71"/>
  <c r="KY34" i="47"/>
  <c r="FY34" i="47"/>
  <c r="IL34" i="47"/>
  <c r="AL34" i="47"/>
  <c r="J5" i="69"/>
  <c r="B41" i="28"/>
  <c r="J57" i="28"/>
  <c r="B57" i="28"/>
  <c r="JL34" i="47"/>
  <c r="EY34" i="47"/>
  <c r="Y34" i="47"/>
  <c r="HL34" i="47"/>
  <c r="AJ29" i="47"/>
  <c r="FJ29" i="47"/>
  <c r="JJ29" i="47"/>
  <c r="LW29" i="47"/>
  <c r="D34" i="47"/>
  <c r="GY34" i="47"/>
  <c r="DY34" i="47"/>
  <c r="BY34" i="47"/>
  <c r="LL34" i="47"/>
  <c r="AY34" i="47"/>
  <c r="JY34" i="47"/>
  <c r="J41" i="28"/>
  <c r="LY34" i="47"/>
  <c r="IY34" i="47"/>
  <c r="BL34" i="47"/>
  <c r="J29" i="47"/>
  <c r="IJ29" i="47"/>
  <c r="IW29" i="47"/>
  <c r="W29" i="47"/>
  <c r="HW29" i="47"/>
  <c r="HJ29" i="47"/>
  <c r="AW29" i="47"/>
  <c r="DW29" i="47"/>
  <c r="HY34" i="47"/>
  <c r="L34" i="47"/>
  <c r="M8" i="68"/>
  <c r="M6" i="68"/>
  <c r="H8" i="68"/>
  <c r="H6" i="68"/>
  <c r="I7" i="68"/>
  <c r="M5" i="68"/>
  <c r="CF128" i="47"/>
  <c r="AQ128" i="47"/>
  <c r="FS128" i="47"/>
  <c r="FS129" i="47" s="1"/>
  <c r="O5" i="68"/>
  <c r="I5" i="68"/>
  <c r="O6" i="68"/>
  <c r="H7" i="68"/>
  <c r="I6" i="68"/>
  <c r="O7" i="68"/>
  <c r="N6" i="68"/>
  <c r="M7" i="68"/>
  <c r="N7" i="68"/>
  <c r="O8" i="68"/>
  <c r="N5" i="68"/>
  <c r="L5" i="68" s="1"/>
  <c r="AV5" i="68" s="1"/>
  <c r="N8" i="68"/>
  <c r="KD128" i="47"/>
  <c r="ID128" i="47"/>
  <c r="CQ128" i="47"/>
  <c r="EQ128" i="47"/>
  <c r="EQ129" i="47" s="1"/>
  <c r="DD128" i="47"/>
  <c r="GS128" i="47"/>
  <c r="CD128" i="47"/>
  <c r="CD129" i="47" s="1"/>
  <c r="AF128" i="47"/>
  <c r="LF128" i="47"/>
  <c r="AS128" i="47"/>
  <c r="IS128" i="47"/>
  <c r="FF128" i="47"/>
  <c r="FF129" i="47" s="1"/>
  <c r="IF128" i="47"/>
  <c r="JQ128" i="47"/>
  <c r="ES128" i="47"/>
  <c r="ES129" i="47" s="1"/>
  <c r="LQ128" i="47"/>
  <c r="IQ128" i="47"/>
  <c r="FD128" i="47"/>
  <c r="JS128" i="47"/>
  <c r="Q128" i="47"/>
  <c r="Q129" i="47" s="1"/>
  <c r="LS128" i="47"/>
  <c r="AD128" i="47"/>
  <c r="LD128" i="47"/>
  <c r="LD129" i="47" s="1"/>
  <c r="GD128" i="47"/>
  <c r="S128" i="47"/>
  <c r="Z28" i="68"/>
  <c r="T22" i="68"/>
  <c r="Z22" i="68"/>
  <c r="C76" i="28"/>
  <c r="C76" i="47"/>
  <c r="C78" i="28"/>
  <c r="Z24" i="68"/>
  <c r="Z30" i="68"/>
  <c r="T24" i="68"/>
  <c r="C78" i="47"/>
  <c r="EF128" i="47"/>
  <c r="GF128" i="47"/>
  <c r="DS128" i="47"/>
  <c r="HF128" i="47"/>
  <c r="HF129" i="47" s="1"/>
  <c r="MD128" i="47"/>
  <c r="JD128" i="47"/>
  <c r="KQ128" i="47"/>
  <c r="ED128" i="47"/>
  <c r="JF128" i="47"/>
  <c r="JF129" i="47" s="1"/>
  <c r="DQ128" i="47"/>
  <c r="HD128" i="47"/>
  <c r="BQ128" i="47"/>
  <c r="BQ129" i="47" s="1"/>
  <c r="MF128" i="47"/>
  <c r="KS128" i="47"/>
  <c r="BS128" i="47"/>
  <c r="HQ128" i="47"/>
  <c r="KF128" i="47"/>
  <c r="KF129" i="47" s="1"/>
  <c r="BF128" i="47"/>
  <c r="CS128" i="47"/>
  <c r="HS128" i="47"/>
  <c r="HS129" i="47" s="1"/>
  <c r="DF128" i="47"/>
  <c r="E80" i="28"/>
  <c r="Z32" i="68"/>
  <c r="Z26" i="68"/>
  <c r="T26" i="68"/>
  <c r="E80" i="47"/>
  <c r="FQ128" i="47"/>
  <c r="D48" i="28"/>
  <c r="B22" i="28"/>
  <c r="KW46" i="47"/>
  <c r="GQ128" i="47"/>
  <c r="BD128" i="47"/>
  <c r="IL7" i="47"/>
  <c r="N5" i="61"/>
  <c r="AA27" i="65"/>
  <c r="LL7" i="47"/>
  <c r="Z23" i="61"/>
  <c r="H8" i="61"/>
  <c r="I6" i="61"/>
  <c r="EL7" i="47"/>
  <c r="J22" i="28"/>
  <c r="L48" i="28"/>
  <c r="JK14" i="47"/>
  <c r="L45" i="28"/>
  <c r="EW46" i="47"/>
  <c r="AX14" i="47"/>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D60" i="28"/>
  <c r="L60" i="28"/>
  <c r="B30" i="28"/>
  <c r="J30" i="28"/>
  <c r="K6" i="70"/>
  <c r="E23" i="26" s="1"/>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AV5" i="70" s="1"/>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IW46" i="47"/>
  <c r="IJ46" i="47"/>
  <c r="CW24" i="47"/>
  <c r="DW24" i="47"/>
  <c r="B46" i="28"/>
  <c r="IW24" i="47"/>
  <c r="B24" i="47"/>
  <c r="HV24" i="47" s="1"/>
  <c r="J8" i="63"/>
  <c r="B23" i="47"/>
  <c r="I23" i="47" s="1"/>
  <c r="U27" i="72"/>
  <c r="IW23" i="47"/>
  <c r="DW23" i="47"/>
  <c r="FJ41" i="47"/>
  <c r="JW23" i="47"/>
  <c r="J41" i="47"/>
  <c r="IJ41" i="47"/>
  <c r="BJ24" i="47"/>
  <c r="HW24" i="47"/>
  <c r="BW24" i="47"/>
  <c r="DJ24" i="47"/>
  <c r="HJ24" i="47"/>
  <c r="KW24" i="47"/>
  <c r="AW24" i="47"/>
  <c r="FW24" i="47"/>
  <c r="JJ24" i="47"/>
  <c r="LW24" i="47"/>
  <c r="W24" i="47"/>
  <c r="EW24" i="47"/>
  <c r="LJ24" i="47"/>
  <c r="L6" i="70"/>
  <c r="AV6" i="70" s="1"/>
  <c r="J24" i="47"/>
  <c r="EJ24" i="47"/>
  <c r="JW24" i="47"/>
  <c r="AJ24" i="47"/>
  <c r="FJ24" i="47"/>
  <c r="GW24" i="47"/>
  <c r="IJ24" i="47"/>
  <c r="CJ24" i="47"/>
  <c r="GJ24" i="47"/>
  <c r="J6" i="63"/>
  <c r="K7" i="63"/>
  <c r="E19" i="26" s="1"/>
  <c r="J6" i="66"/>
  <c r="K8" i="70"/>
  <c r="E25" i="26" s="1"/>
  <c r="V27" i="72"/>
  <c r="AJ23" i="47"/>
  <c r="BW23" i="47"/>
  <c r="GJ23" i="47"/>
  <c r="CJ41" i="47"/>
  <c r="JJ41" i="47"/>
  <c r="EW41" i="47"/>
  <c r="LW23" i="47"/>
  <c r="GW23" i="47"/>
  <c r="HJ23" i="47"/>
  <c r="KJ23" i="47"/>
  <c r="DW41" i="47"/>
  <c r="LJ41" i="47"/>
  <c r="BJ41" i="47"/>
  <c r="LW41" i="47"/>
  <c r="KW23" i="47"/>
  <c r="HW23" i="47"/>
  <c r="EW23" i="47"/>
  <c r="LJ23" i="47"/>
  <c r="GW41" i="47"/>
  <c r="GJ41" i="47"/>
  <c r="FW41" i="47"/>
  <c r="KW41" i="47"/>
  <c r="J6" i="70"/>
  <c r="AW23" i="47"/>
  <c r="CW23" i="47"/>
  <c r="IJ23" i="47"/>
  <c r="JW41" i="47"/>
  <c r="EJ41" i="47"/>
  <c r="W41" i="47"/>
  <c r="B41" i="47"/>
  <c r="IV41" i="47" s="1"/>
  <c r="V25" i="63"/>
  <c r="J23" i="47"/>
  <c r="FJ23" i="47"/>
  <c r="FW23" i="47"/>
  <c r="AJ41" i="47"/>
  <c r="KJ41" i="47"/>
  <c r="DJ41" i="47"/>
  <c r="J8" i="70"/>
  <c r="L7" i="70"/>
  <c r="AV7" i="70" s="1"/>
  <c r="AA27" i="72"/>
  <c r="J60" i="28"/>
  <c r="B60" i="28"/>
  <c r="CJ23" i="47"/>
  <c r="BJ23" i="47"/>
  <c r="JJ23" i="47"/>
  <c r="HJ41" i="47"/>
  <c r="AW41" i="47"/>
  <c r="HW41" i="47"/>
  <c r="W23" i="47"/>
  <c r="DJ23" i="47"/>
  <c r="IW41" i="47"/>
  <c r="CW41" i="47"/>
  <c r="K8" i="63"/>
  <c r="U26" i="71"/>
  <c r="V26" i="71"/>
  <c r="AA26" i="71"/>
  <c r="K5" i="63"/>
  <c r="E17" i="26" s="1"/>
  <c r="J5" i="70"/>
  <c r="L8" i="70"/>
  <c r="AV8" i="70" s="1"/>
  <c r="D45" i="28"/>
  <c r="J5" i="67"/>
  <c r="J5" i="63"/>
  <c r="J7" i="70"/>
  <c r="K6" i="63"/>
  <c r="E18" i="26" s="1"/>
  <c r="L7" i="63"/>
  <c r="AV7" i="63" s="1"/>
  <c r="AW72" i="47"/>
  <c r="FW72" i="47"/>
  <c r="L5" i="63"/>
  <c r="AV5" i="63" s="1"/>
  <c r="JJ72" i="47"/>
  <c r="AA31" i="66"/>
  <c r="D88" i="28"/>
  <c r="J6" i="72"/>
  <c r="U25" i="66"/>
  <c r="L88" i="28"/>
  <c r="V25" i="66"/>
  <c r="J8" i="67"/>
  <c r="L6" i="63"/>
  <c r="AV6" i="63" s="1"/>
  <c r="AA25" i="63"/>
  <c r="AA31" i="63"/>
  <c r="AA22" i="72"/>
  <c r="U22" i="72"/>
  <c r="V22" i="72"/>
  <c r="J6" i="65"/>
  <c r="L8" i="63"/>
  <c r="AV8" i="63" s="1"/>
  <c r="AA33" i="61"/>
  <c r="AA27" i="61"/>
  <c r="V27" i="61"/>
  <c r="L11" i="28"/>
  <c r="D11" i="28"/>
  <c r="AA33" i="67"/>
  <c r="AA29" i="68"/>
  <c r="U23" i="68"/>
  <c r="V23" i="68"/>
  <c r="V27" i="67"/>
  <c r="U27" i="67"/>
  <c r="U24" i="64"/>
  <c r="K6" i="66"/>
  <c r="E53" i="26" s="1"/>
  <c r="L6" i="67"/>
  <c r="AV6" i="67" s="1"/>
  <c r="L5" i="72"/>
  <c r="AV5" i="72" s="1"/>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K6" i="67"/>
  <c r="E63" i="26" s="1"/>
  <c r="J72" i="28"/>
  <c r="K7" i="67"/>
  <c r="E64" i="26" s="1"/>
  <c r="J8" i="68"/>
  <c r="J5" i="72"/>
  <c r="K5" i="67"/>
  <c r="E62" i="26" s="1"/>
  <c r="J6" i="67"/>
  <c r="L8" i="69"/>
  <c r="AV8" i="69" s="1"/>
  <c r="K5" i="66"/>
  <c r="E52" i="26" s="1"/>
  <c r="L8" i="67"/>
  <c r="AV8" i="67" s="1"/>
  <c r="V24" i="72"/>
  <c r="K8" i="69"/>
  <c r="E50" i="26" s="1"/>
  <c r="K8" i="72"/>
  <c r="E30" i="26" s="1"/>
  <c r="J5" i="66"/>
  <c r="J8" i="69"/>
  <c r="K7" i="69"/>
  <c r="E49" i="26" s="1"/>
  <c r="J7" i="69"/>
  <c r="L5" i="66"/>
  <c r="AV5" i="66" s="1"/>
  <c r="O7" i="62"/>
  <c r="K8" i="67"/>
  <c r="I7" i="62"/>
  <c r="N8" i="62"/>
  <c r="J8" i="72"/>
  <c r="L5" i="67"/>
  <c r="AV5" i="67" s="1"/>
  <c r="L6" i="72"/>
  <c r="AV6" i="72" s="1"/>
  <c r="J7" i="67"/>
  <c r="K6" i="72"/>
  <c r="K6" i="69"/>
  <c r="E48" i="26" s="1"/>
  <c r="J8" i="64"/>
  <c r="O6" i="62"/>
  <c r="L7" i="67"/>
  <c r="AV7" i="67" s="1"/>
  <c r="K8" i="65"/>
  <c r="E45" i="26" s="1"/>
  <c r="L8" i="72"/>
  <c r="AV8" i="72" s="1"/>
  <c r="AA23" i="71"/>
  <c r="V23" i="71"/>
  <c r="U23" i="71"/>
  <c r="K8" i="64"/>
  <c r="E40" i="26" s="1"/>
  <c r="J5" i="65"/>
  <c r="K5" i="72"/>
  <c r="E27" i="26" s="1"/>
  <c r="I5" i="62"/>
  <c r="O8" i="62"/>
  <c r="N5" i="62"/>
  <c r="N6" i="62"/>
  <c r="I6" i="62"/>
  <c r="K6" i="71"/>
  <c r="E33" i="26" s="1"/>
  <c r="L7" i="71"/>
  <c r="AV7" i="71" s="1"/>
  <c r="K6" i="65"/>
  <c r="E43" i="26" s="1"/>
  <c r="L7" i="72"/>
  <c r="AV7" i="72" s="1"/>
  <c r="J7" i="72"/>
  <c r="J8" i="65"/>
  <c r="J7" i="71"/>
  <c r="H6" i="62"/>
  <c r="J6" i="62" s="1"/>
  <c r="H7" i="62"/>
  <c r="N7" i="62"/>
  <c r="M5" i="62"/>
  <c r="O5" i="62"/>
  <c r="L8" i="65"/>
  <c r="AV8" i="65" s="1"/>
  <c r="H5" i="62"/>
  <c r="M7" i="62"/>
  <c r="K5" i="69"/>
  <c r="E47" i="26" s="1"/>
  <c r="H8" i="62"/>
  <c r="K7" i="72"/>
  <c r="E29" i="26" s="1"/>
  <c r="U24" i="72"/>
  <c r="L6" i="65"/>
  <c r="AV6" i="65" s="1"/>
  <c r="AA30" i="72"/>
  <c r="E15" i="47"/>
  <c r="E15" i="28"/>
  <c r="Z30" i="62"/>
  <c r="T24" i="62"/>
  <c r="Z24" i="62"/>
  <c r="L5" i="71"/>
  <c r="AV5" i="71" s="1"/>
  <c r="L6" i="66"/>
  <c r="AV6" i="66" s="1"/>
  <c r="C18" i="28"/>
  <c r="I8" i="62"/>
  <c r="C18" i="47"/>
  <c r="Z27" i="62"/>
  <c r="Z33" i="62"/>
  <c r="M8" i="62"/>
  <c r="T27" i="62"/>
  <c r="K7" i="71"/>
  <c r="M6" i="62"/>
  <c r="L6" i="64"/>
  <c r="AV6" i="64" s="1"/>
  <c r="J5" i="68"/>
  <c r="L6" i="71"/>
  <c r="AV6" i="71" s="1"/>
  <c r="K7" i="66"/>
  <c r="E54" i="26" s="1"/>
  <c r="J5" i="71"/>
  <c r="E13" i="47"/>
  <c r="E13" i="28"/>
  <c r="Z28" i="62"/>
  <c r="T22" i="62"/>
  <c r="Z22" i="62"/>
  <c r="V25" i="65"/>
  <c r="J8" i="71"/>
  <c r="K8" i="71"/>
  <c r="E35" i="26" s="1"/>
  <c r="K8" i="68"/>
  <c r="E60" i="26" s="1"/>
  <c r="L6" i="69"/>
  <c r="AV6" i="69" s="1"/>
  <c r="J8" i="66"/>
  <c r="J6" i="71"/>
  <c r="AA25" i="65"/>
  <c r="K6" i="64"/>
  <c r="E38" i="26" s="1"/>
  <c r="J5" i="64"/>
  <c r="J7" i="64"/>
  <c r="L5" i="65"/>
  <c r="AV5" i="65" s="1"/>
  <c r="K7" i="65"/>
  <c r="J7" i="66"/>
  <c r="J6" i="69"/>
  <c r="K8" i="66"/>
  <c r="AA31" i="65"/>
  <c r="K7" i="64"/>
  <c r="E39" i="26" s="1"/>
  <c r="L7" i="66"/>
  <c r="AV7" i="66" s="1"/>
  <c r="L7" i="64"/>
  <c r="AV7" i="64" s="1"/>
  <c r="L8" i="68"/>
  <c r="AV8" i="68" s="1"/>
  <c r="L7" i="69"/>
  <c r="AV7" i="69" s="1"/>
  <c r="J7" i="65"/>
  <c r="U23" i="69"/>
  <c r="AA24" i="64"/>
  <c r="V24" i="64"/>
  <c r="L7" i="65"/>
  <c r="AV7" i="65" s="1"/>
  <c r="L8" i="71"/>
  <c r="AV8" i="71" s="1"/>
  <c r="L8" i="66"/>
  <c r="AV8" i="66" s="1"/>
  <c r="AA32" i="62"/>
  <c r="V23" i="69"/>
  <c r="V26" i="62"/>
  <c r="AA23" i="69"/>
  <c r="U26" i="62"/>
  <c r="L8" i="64"/>
  <c r="AV8" i="64" s="1"/>
  <c r="J6" i="64"/>
  <c r="L5" i="69"/>
  <c r="AV5" i="69" s="1"/>
  <c r="L5" i="64"/>
  <c r="AV5" i="64" s="1"/>
  <c r="K5" i="68"/>
  <c r="K5" i="65"/>
  <c r="E42" i="26" s="1"/>
  <c r="K5" i="64"/>
  <c r="E37" i="26" s="1"/>
  <c r="B17" i="28"/>
  <c r="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I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D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K73" i="28"/>
  <c r="I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J42" i="28"/>
  <c r="B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L77" i="28"/>
  <c r="D77" i="28"/>
  <c r="K71" i="28"/>
  <c r="AA23" i="65"/>
  <c r="V23" i="65"/>
  <c r="U23" i="65"/>
  <c r="AA29" i="65"/>
  <c r="D56" i="28"/>
  <c r="L56" i="28"/>
  <c r="AA22" i="66"/>
  <c r="V22" i="66"/>
  <c r="U22" i="66"/>
  <c r="AA28" i="66"/>
  <c r="L39" i="28"/>
  <c r="D39" i="28"/>
  <c r="J36" i="28"/>
  <c r="B36" i="28"/>
  <c r="J69" i="28"/>
  <c r="B69" i="28"/>
  <c r="J56" i="28"/>
  <c r="B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J34" i="28"/>
  <c r="B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J58" i="28"/>
  <c r="B58" i="28"/>
  <c r="I5" i="29"/>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B63" i="28"/>
  <c r="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B50" i="28"/>
  <c r="J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30" i="28"/>
  <c r="I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LI64" i="47"/>
  <c r="JV64" i="47"/>
  <c r="DI64" i="47"/>
  <c r="I64" i="47"/>
  <c r="KV64" i="47"/>
  <c r="HV64" i="47"/>
  <c r="BI64" i="47"/>
  <c r="AI64" i="47"/>
  <c r="IV64" i="47"/>
  <c r="JI64" i="47"/>
  <c r="FI64" i="47"/>
  <c r="HI64" i="47"/>
  <c r="FV64" i="47"/>
  <c r="CV64" i="47"/>
  <c r="GV64" i="47"/>
  <c r="KI64" i="47"/>
  <c r="AV64" i="47"/>
  <c r="GI64" i="47"/>
  <c r="II64" i="47"/>
  <c r="DV64" i="47"/>
  <c r="CI64" i="47"/>
  <c r="BV64" i="47"/>
  <c r="LV64" i="47"/>
  <c r="EI64" i="47"/>
  <c r="EV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DK7" i="47"/>
  <c r="DX7" i="47"/>
  <c r="CK7" i="47"/>
  <c r="BK7" i="47"/>
  <c r="HK7" i="47"/>
  <c r="EK7" i="47"/>
  <c r="CX7" i="47"/>
  <c r="HX7" i="47"/>
  <c r="BX7" i="47"/>
  <c r="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I7" i="28"/>
  <c r="K38" i="28"/>
  <c r="K42" i="28"/>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I44" i="28"/>
  <c r="JX42" i="47"/>
  <c r="EK42" i="47"/>
  <c r="X42" i="47"/>
  <c r="GK42" i="47"/>
  <c r="K42" i="47"/>
  <c r="KX42" i="47"/>
  <c r="DK42" i="47"/>
  <c r="CX42" i="47"/>
  <c r="FK42" i="47"/>
  <c r="HK42" i="47"/>
  <c r="FX42" i="47"/>
  <c r="AX42" i="47"/>
  <c r="LX42" i="47"/>
  <c r="JK42" i="47"/>
  <c r="EX42" i="47"/>
  <c r="BX42" i="47"/>
  <c r="HX42" i="47"/>
  <c r="KK42" i="47"/>
  <c r="IK42" i="47"/>
  <c r="CK42" i="47"/>
  <c r="DX42" i="47"/>
  <c r="LK42" i="47"/>
  <c r="IX42" i="47"/>
  <c r="BK42" i="47"/>
  <c r="GX42" i="47"/>
  <c r="AK42" i="47"/>
  <c r="I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K62" i="28"/>
  <c r="K52" i="28"/>
  <c r="I71" i="28"/>
  <c r="K27" i="28"/>
  <c r="JV10" i="47"/>
  <c r="GI10" i="47"/>
  <c r="BV10" i="47"/>
  <c r="KV10" i="47"/>
  <c r="IV10" i="47"/>
  <c r="DI10" i="47"/>
  <c r="DV10" i="47"/>
  <c r="GV10" i="47"/>
  <c r="EV10" i="47"/>
  <c r="AV10" i="47"/>
  <c r="LV10" i="47"/>
  <c r="HI10" i="47"/>
  <c r="CI10" i="47"/>
  <c r="V10" i="47"/>
  <c r="KI10" i="47"/>
  <c r="FI10" i="47"/>
  <c r="BI10" i="47"/>
  <c r="LI10" i="47"/>
  <c r="EI10" i="47"/>
  <c r="AI10" i="47"/>
  <c r="JI10" i="47"/>
  <c r="II10" i="47"/>
  <c r="I10" i="47"/>
  <c r="HV10" i="47"/>
  <c r="FV10" i="47"/>
  <c r="CV10" i="47"/>
  <c r="I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I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K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K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9" i="47"/>
  <c r="IS129" i="47"/>
  <c r="K10" i="28"/>
  <c r="K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EX34" i="47"/>
  <c r="LK34" i="47"/>
  <c r="AK34" i="47"/>
  <c r="HK34" i="47"/>
  <c r="FK34" i="47"/>
  <c r="CX34" i="47"/>
  <c r="GX34" i="47"/>
  <c r="CK34" i="47"/>
  <c r="X34" i="47"/>
  <c r="LX34" i="47"/>
  <c r="HX34" i="47"/>
  <c r="DX34" i="47"/>
  <c r="AX34" i="47"/>
  <c r="JX34" i="47"/>
  <c r="GK34" i="47"/>
  <c r="BX34" i="47"/>
  <c r="K34" i="47"/>
  <c r="JK34" i="47"/>
  <c r="IK34" i="47"/>
  <c r="DK34" i="47"/>
  <c r="KK34" i="47"/>
  <c r="FX34" i="47"/>
  <c r="BK34" i="47"/>
  <c r="IX34" i="47"/>
  <c r="KX34" i="47"/>
  <c r="E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I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K86" i="28"/>
  <c r="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I59" i="28"/>
  <c r="I88" i="28"/>
  <c r="K55" i="28"/>
  <c r="I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I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K28" i="28"/>
  <c r="K58" i="28"/>
  <c r="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K34" i="28"/>
  <c r="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K66" i="28"/>
  <c r="K46" i="28"/>
  <c r="I41" i="28"/>
  <c r="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29" i="28"/>
  <c r="I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I57" i="28"/>
  <c r="KK67" i="47"/>
  <c r="GX67" i="47"/>
  <c r="CK67" i="47"/>
  <c r="HX67" i="47"/>
  <c r="EK67" i="47"/>
  <c r="AK67" i="47"/>
  <c r="IK67" i="47"/>
  <c r="DK67" i="47"/>
  <c r="DX67" i="47"/>
  <c r="FX67" i="47"/>
  <c r="BK67" i="47"/>
  <c r="BX67" i="47"/>
  <c r="JX67" i="47"/>
  <c r="GK67" i="47"/>
  <c r="X67" i="47"/>
  <c r="LX67" i="47"/>
  <c r="FK67" i="47"/>
  <c r="EX67" i="47"/>
  <c r="K67" i="47"/>
  <c r="LK67" i="47"/>
  <c r="JK67" i="47"/>
  <c r="CX67" i="47"/>
  <c r="IX67" i="47"/>
  <c r="KX67" i="47"/>
  <c r="HK67" i="47"/>
  <c r="AX67"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I14" i="28"/>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K50" i="28"/>
  <c r="K67"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I53" i="28"/>
  <c r="K9" i="28"/>
  <c r="E32" i="26"/>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I51" i="28"/>
  <c r="K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KS129"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I16" i="28"/>
  <c r="K64" i="28"/>
  <c r="K17" i="28"/>
  <c r="I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K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I11" i="28"/>
  <c r="I66"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I81" i="28"/>
  <c r="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25" i="28"/>
  <c r="K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FX45"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F129" i="47"/>
  <c r="I67" i="28"/>
  <c r="I8" i="28"/>
  <c r="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K32" i="28"/>
  <c r="I86" i="28"/>
  <c r="I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K63" i="28"/>
  <c r="K84" i="28"/>
  <c r="I83" i="28"/>
  <c r="GS129" i="47"/>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I6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K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I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K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Q129"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22" i="28"/>
  <c r="K31" i="28"/>
  <c r="GE107" i="47"/>
  <c r="GD129"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I24" i="28"/>
  <c r="I72" i="28"/>
  <c r="DF129"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K22" i="28"/>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CF129" i="47"/>
  <c r="KE107" i="47"/>
  <c r="KD129" i="47"/>
  <c r="IR107" i="47"/>
  <c r="IQ129" i="47"/>
  <c r="GF129" i="47"/>
  <c r="JR107" i="47"/>
  <c r="JQ129" i="47"/>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79" i="28"/>
  <c r="DE107" i="47"/>
  <c r="DD129"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K78" i="28"/>
  <c r="JS129" i="47"/>
  <c r="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K81" i="28"/>
  <c r="KR107" i="47"/>
  <c r="KQ129" i="47"/>
  <c r="FE107" i="47"/>
  <c r="FD129" i="47"/>
  <c r="BF129" i="47"/>
  <c r="I77" i="28"/>
  <c r="CS129" i="47"/>
  <c r="DS129" i="47"/>
  <c r="R107" i="47"/>
  <c r="HE107" i="47"/>
  <c r="HD129"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K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EF129" i="47"/>
  <c r="BE107" i="47"/>
  <c r="BD129" i="47"/>
  <c r="I37" i="28"/>
  <c r="IE107" i="47"/>
  <c r="ID129" i="47"/>
  <c r="CR107" i="47"/>
  <c r="CQ129" i="47"/>
  <c r="DR107" i="47"/>
  <c r="DQ129" i="47"/>
  <c r="S129" i="47"/>
  <c r="I39" i="28"/>
  <c r="BS129" i="47"/>
  <c r="LR107" i="47"/>
  <c r="LQ129" i="47"/>
  <c r="HR107" i="47"/>
  <c r="HQ129" i="47"/>
  <c r="ME107" i="47"/>
  <c r="MD129" i="47"/>
  <c r="LV29" i="47"/>
  <c r="KI29" i="47"/>
  <c r="KV29" i="47"/>
  <c r="LI29" i="47"/>
  <c r="JI29" i="47"/>
  <c r="HV29" i="47"/>
  <c r="GV29" i="47"/>
  <c r="JV29" i="47"/>
  <c r="HI29" i="47"/>
  <c r="GI29" i="47"/>
  <c r="IV29" i="47"/>
  <c r="II29" i="47"/>
  <c r="FI29" i="47"/>
  <c r="EI29" i="47"/>
  <c r="DI29" i="47"/>
  <c r="FV29" i="47"/>
  <c r="DV29" i="47"/>
  <c r="CI29" i="47"/>
  <c r="BI29" i="47"/>
  <c r="AI29" i="47"/>
  <c r="I29" i="47"/>
  <c r="EV29" i="47"/>
  <c r="AV29" i="47"/>
  <c r="BV29" i="47"/>
  <c r="CV29" i="47"/>
  <c r="V29" i="47"/>
  <c r="I38" i="28"/>
  <c r="K37" i="28"/>
  <c r="EE107" i="47"/>
  <c r="ED129" i="47"/>
  <c r="K24" i="28"/>
  <c r="IF129" i="47"/>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FQ129" i="47"/>
  <c r="ER107" i="47"/>
  <c r="LS129" i="47"/>
  <c r="MF129"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21"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AS129" i="47"/>
  <c r="I74" i="28"/>
  <c r="JE107" i="47"/>
  <c r="JD129"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J6" i="68" l="1"/>
  <c r="K6" i="61"/>
  <c r="L5" i="61"/>
  <c r="AV5" i="61" s="1"/>
  <c r="L6" i="68"/>
  <c r="AV6" i="68" s="1"/>
  <c r="JX7" i="47"/>
  <c r="LX7" i="47"/>
  <c r="JK7" i="47"/>
  <c r="K6" i="68"/>
  <c r="E58" i="26" s="1"/>
  <c r="K7" i="47"/>
  <c r="IX7" i="47"/>
  <c r="AX7" i="47"/>
  <c r="X7" i="47"/>
  <c r="GK7" i="47"/>
  <c r="FK7" i="47"/>
  <c r="EX7" i="47"/>
  <c r="FX7" i="47"/>
  <c r="KX7" i="47"/>
  <c r="IK7" i="47"/>
  <c r="KK7" i="47"/>
  <c r="J6" i="61"/>
  <c r="LK7" i="47"/>
  <c r="AK7" i="47"/>
  <c r="L7" i="68"/>
  <c r="AV7" i="68" s="1"/>
  <c r="J5" i="61"/>
  <c r="K7" i="68"/>
  <c r="J7" i="68"/>
  <c r="B78" i="28"/>
  <c r="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B76" i="28"/>
  <c r="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D80" i="28"/>
  <c r="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L7" i="28"/>
  <c r="J7" i="61"/>
  <c r="L6" i="61"/>
  <c r="AV6" i="61" s="1"/>
  <c r="D7" i="28"/>
  <c r="L7" i="61"/>
  <c r="AV7" i="61" s="1"/>
  <c r="K8" i="61"/>
  <c r="E10" i="26" s="1"/>
  <c r="I46" i="47"/>
  <c r="FI46" i="47"/>
  <c r="LI46" i="47"/>
  <c r="BV46" i="47"/>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DK45" i="47"/>
  <c r="JX45" i="47"/>
  <c r="BK45" i="47"/>
  <c r="IX45" i="47"/>
  <c r="IK45" i="47"/>
  <c r="LK45" i="47"/>
  <c r="EK45" i="47"/>
  <c r="GK45" i="47"/>
  <c r="KX45" i="47"/>
  <c r="K45" i="47"/>
  <c r="BX45" i="47"/>
  <c r="GX45" i="47"/>
  <c r="LX45" i="47"/>
  <c r="AK45" i="47"/>
  <c r="DX45" i="47"/>
  <c r="HK45" i="47"/>
  <c r="K60" i="28"/>
  <c r="X45" i="47"/>
  <c r="CK45" i="47"/>
  <c r="EX45" i="47"/>
  <c r="CX45" i="47"/>
  <c r="HX45" i="47"/>
  <c r="JK45" i="47"/>
  <c r="AX45" i="47"/>
  <c r="FK45" i="47"/>
  <c r="IV24" i="47"/>
  <c r="KV41" i="47"/>
  <c r="V23" i="47"/>
  <c r="I46" i="28"/>
  <c r="U23" i="61"/>
  <c r="AA23" i="61"/>
  <c r="AA29" i="61"/>
  <c r="FV24" i="47"/>
  <c r="I30" i="28"/>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KV23" i="47"/>
  <c r="EV23" i="47"/>
  <c r="BV23" i="47"/>
  <c r="BI23" i="47"/>
  <c r="II23" i="47"/>
  <c r="GV23" i="47"/>
  <c r="HI23" i="47"/>
  <c r="FV23" i="47"/>
  <c r="I17" i="70"/>
  <c r="I17" i="63"/>
  <c r="I15" i="70"/>
  <c r="I14" i="70"/>
  <c r="E20" i="26"/>
  <c r="I16" i="70"/>
  <c r="I15" i="63"/>
  <c r="I16" i="63"/>
  <c r="I14" i="63"/>
  <c r="K88" i="28"/>
  <c r="I60" i="28"/>
  <c r="II41" i="47"/>
  <c r="AI41" i="47"/>
  <c r="KI41" i="47"/>
  <c r="BV41" i="47"/>
  <c r="EI41" i="47"/>
  <c r="EV41" i="47"/>
  <c r="FV41" i="47"/>
  <c r="JI41" i="47"/>
  <c r="GV41" i="47"/>
  <c r="GI41" i="47"/>
  <c r="BI41" i="47"/>
  <c r="LI41" i="47"/>
  <c r="K45" i="28"/>
  <c r="LV41" i="47"/>
  <c r="HV41" i="47"/>
  <c r="V41" i="47"/>
  <c r="AV41" i="47"/>
  <c r="JV41" i="47"/>
  <c r="DV41" i="47"/>
  <c r="I41" i="47"/>
  <c r="CV41" i="47"/>
  <c r="CI41" i="47"/>
  <c r="L9" i="70"/>
  <c r="R7" i="70" s="1"/>
  <c r="K11" i="28"/>
  <c r="L9" i="63"/>
  <c r="R7" i="63" s="1"/>
  <c r="AI72" i="47"/>
  <c r="HV72" i="47"/>
  <c r="JV72" i="47"/>
  <c r="I14" i="66"/>
  <c r="J7" i="62"/>
  <c r="E8" i="26"/>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AV5" i="62" s="1"/>
  <c r="I16" i="69"/>
  <c r="L7" i="62"/>
  <c r="AV7" i="62" s="1"/>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D15" i="28"/>
  <c r="L15" i="28"/>
  <c r="I16" i="71"/>
  <c r="L6" i="62"/>
  <c r="AV6" i="62" s="1"/>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AV8" i="62" s="1"/>
  <c r="K8" i="62"/>
  <c r="I17" i="66"/>
  <c r="V22" i="62"/>
  <c r="AA28" i="62"/>
  <c r="AA22" i="62"/>
  <c r="U22" i="62"/>
  <c r="J18" i="28"/>
  <c r="B18" i="28"/>
  <c r="I16" i="66"/>
  <c r="L9" i="69"/>
  <c r="R7" i="69" s="1"/>
  <c r="D13" i="28"/>
  <c r="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I17" i="68"/>
  <c r="E57" i="26"/>
  <c r="E59" i="26"/>
  <c r="L9" i="68"/>
  <c r="R6" i="68" s="1"/>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I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K39" i="28"/>
  <c r="I50" i="28"/>
  <c r="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56" i="28"/>
  <c r="I42" i="28"/>
  <c r="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I58" i="28"/>
  <c r="I69"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I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I15" i="68" l="1"/>
  <c r="I16" i="68"/>
  <c r="I14" i="68"/>
  <c r="I76" i="28"/>
  <c r="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K7" i="28"/>
  <c r="L9" i="61"/>
  <c r="R7" i="61" s="1"/>
  <c r="I16" i="61"/>
  <c r="I15" i="61"/>
  <c r="I14" i="61"/>
  <c r="I17" i="61"/>
  <c r="R6" i="70"/>
  <c r="R5" i="70"/>
  <c r="R8" i="70"/>
  <c r="O15" i="70" a="1"/>
  <c r="O15" i="70" s="1"/>
  <c r="K15" i="70" a="1"/>
  <c r="K15" i="70" s="1"/>
  <c r="O14" i="70" a="1"/>
  <c r="O14" i="70" s="1"/>
  <c r="AX22" i="70" a="1"/>
  <c r="AX22" i="70" s="1"/>
  <c r="AY23"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AY24" i="63" s="1"/>
  <c r="R5" i="61"/>
  <c r="R6" i="61"/>
  <c r="R8" i="68"/>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7" i="68" a="1"/>
  <c r="O17" i="68" s="1"/>
  <c r="O16" i="71" a="1"/>
  <c r="O16" i="71" s="1"/>
  <c r="AX22" i="71" a="1"/>
  <c r="AX22" i="71" s="1"/>
  <c r="S16" i="71" a="1"/>
  <c r="S16" i="71" s="1"/>
  <c r="K17" i="68" a="1"/>
  <c r="K17" i="68" s="1"/>
  <c r="O17" i="71" a="1"/>
  <c r="O17" i="71" s="1"/>
  <c r="R8" i="72"/>
  <c r="S16" i="68" a="1"/>
  <c r="S16" i="68" s="1"/>
  <c r="K16" i="71" a="1"/>
  <c r="K16" i="71" s="1"/>
  <c r="R6" i="72"/>
  <c r="S17" i="71" a="1"/>
  <c r="S17" i="71" s="1"/>
  <c r="S14" i="71" a="1"/>
  <c r="S14" i="71" s="1"/>
  <c r="R7" i="72"/>
  <c r="K17" i="71" a="1"/>
  <c r="K17" i="71" s="1"/>
  <c r="K16" i="68" a="1"/>
  <c r="K16" i="68" s="1"/>
  <c r="AX22" i="68" a="1"/>
  <c r="AX22" i="68" s="1"/>
  <c r="AY23" i="68" s="1"/>
  <c r="K15" i="68" a="1"/>
  <c r="K15" i="68" s="1"/>
  <c r="AX14" i="68" a="1"/>
  <c r="AX14" i="68" s="1"/>
  <c r="S15" i="68" a="1"/>
  <c r="S15" i="68" s="1"/>
  <c r="O16" i="68" a="1"/>
  <c r="O16" i="68" s="1"/>
  <c r="O15" i="68" a="1"/>
  <c r="O15" i="68" s="1"/>
  <c r="O14" i="68" a="1"/>
  <c r="O14" i="68" s="1"/>
  <c r="S17" i="68" a="1"/>
  <c r="S17" i="68" s="1"/>
  <c r="S14" i="68" a="1"/>
  <c r="S14" i="68" s="1"/>
  <c r="K14" i="68" a="1"/>
  <c r="K14" i="68"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18" i="28"/>
  <c r="R5" i="69"/>
  <c r="I17" i="62"/>
  <c r="I15" i="62"/>
  <c r="I14" i="62"/>
  <c r="E15" i="26"/>
  <c r="I16" i="62"/>
  <c r="K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K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Y24" i="70"/>
  <c r="AX14" i="61" l="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L14" i="68"/>
  <c r="M14" i="68" s="1"/>
  <c r="P14" i="68" s="1"/>
  <c r="Q14" i="68" s="1"/>
  <c r="G5" i="32"/>
  <c r="L15" i="68"/>
  <c r="M15" i="68" s="1"/>
  <c r="P15" i="68" s="1"/>
  <c r="Q15" i="68" s="1"/>
  <c r="L15" i="72"/>
  <c r="M15" i="72" s="1"/>
  <c r="P15" i="72" s="1"/>
  <c r="AY25" i="69"/>
  <c r="AY24" i="69"/>
  <c r="AY23" i="69"/>
  <c r="L16" i="68"/>
  <c r="M16" i="68" s="1"/>
  <c r="P16" i="68" s="1"/>
  <c r="Q16" i="68" s="1"/>
  <c r="L17" i="72"/>
  <c r="M17" i="72" s="1"/>
  <c r="AY22" i="65"/>
  <c r="L17" i="68"/>
  <c r="M17" i="68" s="1"/>
  <c r="P17" i="68" s="1"/>
  <c r="Q17" i="68" s="1"/>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P15" i="66"/>
  <c r="Q15" i="66" s="1"/>
  <c r="L14" i="61" l="1"/>
  <c r="M14" i="61" s="1"/>
  <c r="P14" i="61" s="1"/>
  <c r="Q14" i="61" s="1"/>
  <c r="L15" i="61"/>
  <c r="M15" i="61" s="1"/>
  <c r="P15" i="61" s="1"/>
  <c r="Q15" i="61" s="1"/>
  <c r="L16" i="61"/>
  <c r="M16" i="61" s="1"/>
  <c r="P16" i="61" s="1"/>
  <c r="Q16" i="61" s="1"/>
  <c r="L17" i="61"/>
  <c r="M17" i="61" s="1"/>
  <c r="P17" i="61" s="1"/>
  <c r="Q17" i="61" s="1"/>
  <c r="Q14" i="63"/>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T16" i="62" s="1"/>
  <c r="U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7" i="61"/>
  <c r="U17" i="61" s="1"/>
  <c r="T14" i="61"/>
  <c r="U14" i="61" s="1"/>
  <c r="T16" i="61"/>
  <c r="U16" i="61" s="1"/>
  <c r="T15" i="61"/>
  <c r="U15" i="61" s="1"/>
  <c r="T14" i="70"/>
  <c r="U14" i="70" s="1"/>
  <c r="T17" i="70"/>
  <c r="U17" i="70" s="1"/>
  <c r="T14" i="68"/>
  <c r="U14" i="68" s="1"/>
  <c r="T17" i="68"/>
  <c r="U17" i="68" s="1"/>
  <c r="T16" i="72"/>
  <c r="U16" i="72" s="1"/>
  <c r="T16" i="68"/>
  <c r="U16" i="68" s="1"/>
  <c r="T15" i="66"/>
  <c r="U15" i="66" s="1"/>
  <c r="T16" i="63"/>
  <c r="U16" i="63" s="1"/>
  <c r="T17" i="63"/>
  <c r="U17" i="63" s="1"/>
  <c r="T16" i="70"/>
  <c r="U16" i="70" s="1"/>
  <c r="T15" i="68"/>
  <c r="U15" i="68" s="1"/>
  <c r="T14" i="72"/>
  <c r="U14" i="72" s="1"/>
  <c r="T14" i="63"/>
  <c r="U14" i="63" s="1"/>
  <c r="T15" i="70"/>
  <c r="U15" i="70" s="1"/>
  <c r="BA22" i="66" l="1" a="1"/>
  <c r="BB22" i="66" a="1"/>
  <c r="AZ22" i="66" a="1"/>
  <c r="BC22" i="66" a="1"/>
  <c r="T17" i="67"/>
  <c r="U17" i="67" s="1"/>
  <c r="AE14" i="67" s="1" a="1"/>
  <c r="AE14" i="67" s="1"/>
  <c r="T15" i="69"/>
  <c r="U15" i="69" s="1"/>
  <c r="T16" i="69"/>
  <c r="U16" i="69" s="1"/>
  <c r="T16" i="64"/>
  <c r="U16" i="64" s="1"/>
  <c r="BK14" i="64" s="1" a="1"/>
  <c r="AZ22" i="69" a="1"/>
  <c r="AZ24" i="69" s="1"/>
  <c r="BA22" i="69" a="1"/>
  <c r="BC22" i="69" a="1"/>
  <c r="BB22" i="69"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BB22" i="66"/>
  <c r="BB23" i="66"/>
  <c r="BB24" i="66"/>
  <c r="BB25" i="66"/>
  <c r="AZ22" i="66"/>
  <c r="AZ23" i="66"/>
  <c r="AZ24" i="66"/>
  <c r="AZ25" i="66"/>
  <c r="BC22" i="66"/>
  <c r="BC23" i="66"/>
  <c r="BC24" i="66"/>
  <c r="BC25" i="66"/>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BA23" i="66"/>
  <c r="BA24" i="66"/>
  <c r="BA25" i="66"/>
  <c r="BA22" i="66"/>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AE14" i="64" l="1"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BK14" i="67"/>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E21" i="66" a="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X17" i="67" l="1"/>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AF15" i="64" s="1"/>
  <c r="AG15" i="64" s="1"/>
  <c r="X17" i="64"/>
  <c r="Y17" i="64" s="1"/>
  <c r="AB17" i="64" s="1"/>
  <c r="AC17" i="64" s="1"/>
  <c r="X16" i="62"/>
  <c r="Y16" i="62" s="1"/>
  <c r="AB16" i="62" s="1"/>
  <c r="AC16" i="62" s="1"/>
  <c r="AF16" i="62" s="1"/>
  <c r="AG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BE21" i="66"/>
  <c r="BF21" i="66"/>
  <c r="BG21" i="66"/>
  <c r="BH21" i="66"/>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BN8" i="65" l="1"/>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AI14" i="71" s="1"/>
  <c r="AJ14" i="71" s="1"/>
  <c r="BN5" i="71"/>
  <c r="BN8" i="71"/>
  <c r="BN7" i="71"/>
  <c r="BN6" i="71"/>
  <c r="AF15" i="61"/>
  <c r="AG15" i="61" s="1"/>
  <c r="AI15" i="61" s="1"/>
  <c r="AJ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AI15" i="72"/>
  <c r="AJ15" i="72" s="1"/>
  <c r="BN6" i="63"/>
  <c r="BN7" i="63"/>
  <c r="BN8" i="63"/>
  <c r="BN5" i="63"/>
  <c r="AF15" i="70"/>
  <c r="AG15" i="70" s="1"/>
  <c r="AF16" i="68"/>
  <c r="AG16" i="68" s="1"/>
  <c r="AF14" i="66"/>
  <c r="AG14" i="66" s="1"/>
  <c r="AF16" i="72"/>
  <c r="AG16" i="72" s="1"/>
  <c r="AF15" i="63"/>
  <c r="AG15" i="63" s="1"/>
  <c r="BE22" i="66" a="1"/>
  <c r="BN8" i="72"/>
  <c r="BN7" i="72"/>
  <c r="BN5" i="72"/>
  <c r="BN6" i="72"/>
  <c r="AF16" i="63"/>
  <c r="AG16" i="63" s="1"/>
  <c r="AI16" i="64"/>
  <c r="AJ16" i="64" s="1"/>
  <c r="BZ8" i="70"/>
  <c r="BZ6" i="70"/>
  <c r="BZ7" i="70"/>
  <c r="BZ5" i="70"/>
  <c r="AF14" i="70"/>
  <c r="AG14" i="70" s="1"/>
  <c r="AI15" i="69"/>
  <c r="AJ15" i="69" s="1"/>
  <c r="BZ8" i="72"/>
  <c r="BZ7" i="72"/>
  <c r="BZ5" i="72"/>
  <c r="BZ6" i="72"/>
  <c r="BN5" i="70"/>
  <c r="BN6" i="70"/>
  <c r="BN8" i="70"/>
  <c r="BN7" i="70"/>
  <c r="AI17" i="65"/>
  <c r="AJ17" i="65" s="1"/>
  <c r="BN5" i="67" l="1"/>
  <c r="BN6" i="67"/>
  <c r="BN7" i="67"/>
  <c r="BZ7" i="67"/>
  <c r="BZ6" i="67"/>
  <c r="BZ5" i="67"/>
  <c r="BN8" i="69"/>
  <c r="BN5" i="69"/>
  <c r="BN7" i="69"/>
  <c r="BN6" i="69"/>
  <c r="BZ5" i="69"/>
  <c r="BZ6" i="69"/>
  <c r="BZ8" i="69"/>
  <c r="BZ7" i="69"/>
  <c r="AI14" i="61"/>
  <c r="AJ14" i="61" s="1"/>
  <c r="AL14" i="61" s="1"/>
  <c r="AM14" i="61" s="1"/>
  <c r="AI16" i="71"/>
  <c r="AJ16" i="71" s="1"/>
  <c r="AI15" i="64"/>
  <c r="AJ15" i="64" s="1"/>
  <c r="AL15" i="64" s="1"/>
  <c r="AM15" i="64" s="1"/>
  <c r="AI17" i="64"/>
  <c r="AJ17" i="64" s="1"/>
  <c r="AL17" i="64" s="1"/>
  <c r="AM17" i="64" s="1"/>
  <c r="AI15" i="71"/>
  <c r="AJ15" i="71" s="1"/>
  <c r="AL15" i="71" s="1"/>
  <c r="AM15" i="71" s="1"/>
  <c r="AO15" i="71" s="1"/>
  <c r="AP15" i="71" s="1"/>
  <c r="AI16" i="61"/>
  <c r="AJ16" i="61" s="1"/>
  <c r="AI17" i="71"/>
  <c r="AJ17" i="71" s="1"/>
  <c r="AL17" i="71" s="1"/>
  <c r="AM17" i="71" s="1"/>
  <c r="AO17" i="71" s="1"/>
  <c r="AP17" i="71" s="1"/>
  <c r="AI17" i="67"/>
  <c r="AJ17" i="67" s="1"/>
  <c r="AI16" i="67"/>
  <c r="AJ16" i="67" s="1"/>
  <c r="AI14" i="67"/>
  <c r="AJ14" i="67" s="1"/>
  <c r="BE22" i="69" a="1"/>
  <c r="BN7" i="62"/>
  <c r="BN6" i="62"/>
  <c r="BN8" i="62"/>
  <c r="BN5" i="62"/>
  <c r="BZ6" i="62"/>
  <c r="BZ7" i="62"/>
  <c r="BZ5" i="62"/>
  <c r="BZ8" i="62"/>
  <c r="AL15" i="61"/>
  <c r="AM15" i="61" s="1"/>
  <c r="AO15" i="61" s="1"/>
  <c r="AP15" i="61" s="1"/>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L14" i="69"/>
  <c r="AM14" i="69" s="1"/>
  <c r="AL16" i="65"/>
  <c r="AM16" i="65" s="1"/>
  <c r="AL15" i="72"/>
  <c r="AM15" i="72" s="1"/>
  <c r="AI14" i="72"/>
  <c r="AJ14" i="72" s="1"/>
  <c r="AI17" i="70"/>
  <c r="AJ17" i="70" s="1"/>
  <c r="BG22" i="66"/>
  <c r="BG24" i="66"/>
  <c r="BH22" i="66"/>
  <c r="BH24" i="66"/>
  <c r="BE23" i="66"/>
  <c r="BE25" i="66"/>
  <c r="BF23" i="66"/>
  <c r="BF25" i="66"/>
  <c r="BG23" i="66"/>
  <c r="BG25" i="66"/>
  <c r="BH23" i="66"/>
  <c r="BH25" i="66"/>
  <c r="BE22" i="66"/>
  <c r="BE24" i="66"/>
  <c r="BF22" i="66"/>
  <c r="BF24" i="66"/>
  <c r="AI17" i="68"/>
  <c r="AJ17" i="68" s="1"/>
  <c r="AI16" i="72"/>
  <c r="AJ16" i="72" s="1"/>
  <c r="AL14" i="62"/>
  <c r="AM14" i="62" s="1"/>
  <c r="AL17" i="65"/>
  <c r="AM17" i="65" s="1"/>
  <c r="AI15" i="66"/>
  <c r="AJ15" i="66" s="1"/>
  <c r="AI14" i="68"/>
  <c r="AJ14" i="68" s="1"/>
  <c r="AI14" i="66"/>
  <c r="AJ14" i="66" s="1"/>
  <c r="AI15" i="63"/>
  <c r="AJ15" i="63" s="1"/>
  <c r="AL14" i="67" l="1"/>
  <c r="AM14" i="67" s="1"/>
  <c r="AO14" i="67" s="1"/>
  <c r="AP14" i="67" s="1"/>
  <c r="AR14" i="67" s="1"/>
  <c r="AS14" i="67" s="1"/>
  <c r="G14" i="67" s="1"/>
  <c r="F14" i="67" s="1"/>
  <c r="AL16" i="61"/>
  <c r="AM16" i="61" s="1"/>
  <c r="AO16" i="61" s="1"/>
  <c r="AP16" i="61" s="1"/>
  <c r="AL16" i="71"/>
  <c r="AM16" i="71" s="1"/>
  <c r="AO16" i="71" s="1"/>
  <c r="AP16" i="71" s="1"/>
  <c r="AL17" i="67"/>
  <c r="AM17" i="67" s="1"/>
  <c r="AO17" i="67" s="1"/>
  <c r="AP17" i="67" s="1"/>
  <c r="AL14" i="71"/>
  <c r="AM14" i="71" s="1"/>
  <c r="AL16" i="67"/>
  <c r="AM16" i="67" s="1"/>
  <c r="BE25" i="69"/>
  <c r="BF23" i="69"/>
  <c r="BF22" i="69"/>
  <c r="BF25" i="69"/>
  <c r="BF24" i="69"/>
  <c r="BG22" i="69"/>
  <c r="BG23" i="69"/>
  <c r="BG25" i="69"/>
  <c r="BG24" i="69"/>
  <c r="BH22" i="69"/>
  <c r="BH23" i="69"/>
  <c r="BH24" i="69"/>
  <c r="BH25" i="69"/>
  <c r="BE23" i="69"/>
  <c r="BE22" i="69"/>
  <c r="BE24" i="69"/>
  <c r="AL17" i="61"/>
  <c r="AM17" i="61" s="1"/>
  <c r="AO14" i="61"/>
  <c r="AP14" i="61" s="1"/>
  <c r="AO15" i="67"/>
  <c r="AP15" i="67" s="1"/>
  <c r="AR15" i="67" s="1"/>
  <c r="AS15" i="67" s="1"/>
  <c r="G15" i="67" s="1"/>
  <c r="F15" i="67" s="1"/>
  <c r="AU6" i="64"/>
  <c r="AV15" i="64" s="1"/>
  <c r="AO15" i="64"/>
  <c r="AP15" i="64"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U6" i="62"/>
  <c r="AV15" i="62" s="1"/>
  <c r="AO15" i="62"/>
  <c r="AP15" i="62" s="1"/>
  <c r="AL16" i="72"/>
  <c r="AM16" i="72" s="1"/>
  <c r="AU5" i="64"/>
  <c r="AV14" i="64" s="1"/>
  <c r="AO14" i="64"/>
  <c r="AP14" i="64" s="1"/>
  <c r="AU14" i="64" a="1"/>
  <c r="AU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U5" i="65"/>
  <c r="AV14" i="65" s="1"/>
  <c r="AO14" i="65"/>
  <c r="AP14" i="65" s="1"/>
  <c r="AU14" i="65" a="1"/>
  <c r="AU14" i="65" s="1"/>
  <c r="AL16" i="63"/>
  <c r="AM16" i="63" s="1"/>
  <c r="AL16" i="70"/>
  <c r="AM16" i="70" s="1"/>
  <c r="AU6" i="69"/>
  <c r="AV15" i="69" s="1"/>
  <c r="AO15" i="69"/>
  <c r="AP15" i="69" s="1"/>
  <c r="AL15" i="63"/>
  <c r="AM15" i="63" s="1"/>
  <c r="AU7" i="62"/>
  <c r="AV16" i="62" s="1"/>
  <c r="AO16" i="62"/>
  <c r="AP16" i="62" s="1"/>
  <c r="AU8" i="69"/>
  <c r="AV17" i="69" s="1"/>
  <c r="AO17" i="69"/>
  <c r="AP17" i="69" s="1"/>
  <c r="AL14" i="66"/>
  <c r="AM14" i="66" s="1"/>
  <c r="AU8" i="64"/>
  <c r="AV17" i="64" s="1"/>
  <c r="AO17" i="64"/>
  <c r="AP17" i="64" s="1"/>
  <c r="AO15" i="72"/>
  <c r="AP15" i="72" s="1"/>
  <c r="AU7" i="69"/>
  <c r="AV16" i="69" s="1"/>
  <c r="AO16" i="69"/>
  <c r="AP16" i="69" s="1"/>
  <c r="AU7" i="64"/>
  <c r="AV16" i="64" s="1"/>
  <c r="AO16" i="64"/>
  <c r="AP16" i="64" s="1"/>
  <c r="AL17" i="72"/>
  <c r="AM17" i="72" s="1"/>
  <c r="AL15" i="70"/>
  <c r="AM15" i="70" s="1"/>
  <c r="AU7" i="67" l="1"/>
  <c r="AV16" i="67" s="1"/>
  <c r="AU14" i="61" a="1"/>
  <c r="AU14" i="61" s="1"/>
  <c r="C4" i="16" s="1"/>
  <c r="E4" i="16" s="1"/>
  <c r="AU8" i="67"/>
  <c r="AV17" i="67" s="1"/>
  <c r="AU5" i="67"/>
  <c r="AV14" i="67"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B8" i="33" l="1"/>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H11" i="16"/>
  <c r="F11" i="16"/>
  <c r="H10"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6" i="71" l="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AY15" i="70" s="1"/>
  <c r="E17" i="70"/>
  <c r="E16" i="68"/>
  <c r="D23" i="62"/>
  <c r="D25" i="62"/>
  <c r="D24" i="62"/>
  <c r="AY14" i="62"/>
  <c r="D22" i="62"/>
  <c r="D23" i="69"/>
  <c r="D24" i="69"/>
  <c r="D25" i="69"/>
  <c r="D22" i="69"/>
  <c r="AY14" i="69"/>
  <c r="E14" i="68"/>
  <c r="AY22" i="68" s="1"/>
  <c r="E15" i="68"/>
  <c r="AY15" i="68" s="1"/>
  <c r="E17" i="68"/>
  <c r="E16" i="72"/>
  <c r="E16" i="66"/>
  <c r="AY16" i="66" s="1"/>
  <c r="G4" i="16"/>
  <c r="D25" i="67"/>
  <c r="D24" i="67"/>
  <c r="D22" i="67"/>
  <c r="D23" i="67"/>
  <c r="E17" i="63"/>
  <c r="E14" i="66"/>
  <c r="AY14" i="66" s="1"/>
  <c r="E14" i="72"/>
  <c r="AY22" i="72" s="1"/>
  <c r="E16" i="63"/>
  <c r="AY16" i="63" s="1"/>
  <c r="E17" i="72"/>
  <c r="E15" i="72"/>
  <c r="F13" i="16"/>
  <c r="E17" i="66"/>
  <c r="AY17" i="66" s="1"/>
  <c r="F5" i="16"/>
  <c r="F7" i="16"/>
  <c r="E15" i="66"/>
  <c r="AY15" i="66" s="1"/>
  <c r="E15" i="63"/>
  <c r="D24" i="64"/>
  <c r="D23" i="64"/>
  <c r="D25" i="64"/>
  <c r="D22" i="64"/>
  <c r="AY14" i="64"/>
  <c r="F14" i="16"/>
  <c r="E14" i="63"/>
  <c r="AY22" i="63" s="1"/>
  <c r="D4" i="16"/>
  <c r="H8" i="16"/>
  <c r="F8" i="16"/>
  <c r="D24" i="65"/>
  <c r="D22" i="65"/>
  <c r="D25" i="65"/>
  <c r="D23" i="65"/>
  <c r="AY14" i="65"/>
  <c r="F6" i="16"/>
  <c r="BO7" i="67" l="1"/>
  <c r="CA6" i="67"/>
  <c r="BA7" i="67"/>
  <c r="CA5" i="67"/>
  <c r="BO5" i="67"/>
  <c r="CA7" i="67"/>
  <c r="BO8" i="67"/>
  <c r="BA5" i="67"/>
  <c r="BA6" i="67"/>
  <c r="BA8" i="67"/>
  <c r="BB5" i="64"/>
  <c r="CA8" i="67"/>
  <c r="BB8" i="64"/>
  <c r="AY17" i="68"/>
  <c r="AY25" i="68"/>
  <c r="BB7" i="62"/>
  <c r="BB7" i="67"/>
  <c r="BB5" i="67"/>
  <c r="BB6" i="67"/>
  <c r="BB8" i="67"/>
  <c r="AY17" i="70"/>
  <c r="AY25" i="70"/>
  <c r="BB5" i="70" s="1"/>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24" i="70"/>
  <c r="D23" i="70"/>
  <c r="D25" i="70"/>
  <c r="AY14" i="70"/>
  <c r="D14" i="73"/>
  <c r="F22" i="62"/>
  <c r="G14" i="73" s="1"/>
  <c r="M22" i="62" a="1"/>
  <c r="H21" i="62" a="1"/>
  <c r="G22" i="62"/>
  <c r="I14" i="73" s="1"/>
  <c r="E3" i="33"/>
  <c r="N22" i="62"/>
  <c r="E22" i="62"/>
  <c r="CA6" i="62"/>
  <c r="BA6" i="62"/>
  <c r="BA8" i="62"/>
  <c r="BO8" i="62"/>
  <c r="CA8" i="62"/>
  <c r="BA7" i="62"/>
  <c r="BO6" i="62"/>
  <c r="BO5" i="62"/>
  <c r="BA5" i="62"/>
  <c r="CA5" i="62"/>
  <c r="BO7" i="62"/>
  <c r="CA7" i="62"/>
  <c r="F24" i="62"/>
  <c r="G24" i="62"/>
  <c r="D16" i="73"/>
  <c r="C5" i="45"/>
  <c r="E5" i="33"/>
  <c r="E24" i="62"/>
  <c r="N24" i="62"/>
  <c r="E6" i="33"/>
  <c r="D17" i="73"/>
  <c r="G25" i="62"/>
  <c r="I17" i="73" s="1"/>
  <c r="E25" i="62"/>
  <c r="F25" i="62"/>
  <c r="G17" i="73" s="1"/>
  <c r="N25" i="62"/>
  <c r="N23" i="62"/>
  <c r="F23" i="62"/>
  <c r="G15" i="73" s="1"/>
  <c r="E23" i="62"/>
  <c r="D15" i="73"/>
  <c r="G23" i="62"/>
  <c r="I15" i="73" s="1"/>
  <c r="E4" i="33"/>
  <c r="BO8" i="69"/>
  <c r="CA6" i="69"/>
  <c r="BO6" i="69"/>
  <c r="BA5" i="69"/>
  <c r="BO7" i="69"/>
  <c r="CA7" i="69"/>
  <c r="CA5" i="69"/>
  <c r="BO5" i="69"/>
  <c r="BA6" i="69"/>
  <c r="BA7" i="69"/>
  <c r="CA8" i="69"/>
  <c r="BA8" i="69"/>
  <c r="D70" i="73"/>
  <c r="G22" i="69"/>
  <c r="I70" i="73" s="1"/>
  <c r="N22" i="69"/>
  <c r="E22" i="69"/>
  <c r="Z3" i="33"/>
  <c r="H21" i="69" a="1"/>
  <c r="M22" i="69" a="1"/>
  <c r="F22" i="69"/>
  <c r="G70" i="73" s="1"/>
  <c r="D73" i="73"/>
  <c r="G25" i="69"/>
  <c r="I73" i="73" s="1"/>
  <c r="E25" i="69"/>
  <c r="Z6" i="33"/>
  <c r="F25" i="69"/>
  <c r="G73" i="73" s="1"/>
  <c r="N25" i="69"/>
  <c r="G24" i="69"/>
  <c r="N24" i="69"/>
  <c r="Z5" i="33"/>
  <c r="D72" i="73"/>
  <c r="C12" i="45"/>
  <c r="E24" i="69"/>
  <c r="F24" i="69"/>
  <c r="G23" i="69"/>
  <c r="I71" i="73" s="1"/>
  <c r="D71" i="73"/>
  <c r="F23" i="69"/>
  <c r="G71" i="73" s="1"/>
  <c r="Z4" i="33"/>
  <c r="N23" i="69"/>
  <c r="E23" i="69"/>
  <c r="D25" i="68"/>
  <c r="D23" i="68"/>
  <c r="D24" i="68"/>
  <c r="D22" i="68"/>
  <c r="AY14" i="68"/>
  <c r="H13" i="16"/>
  <c r="N23" i="67"/>
  <c r="D95" i="73"/>
  <c r="F23" i="67"/>
  <c r="G95" i="73" s="1"/>
  <c r="E23" i="67"/>
  <c r="G23" i="67"/>
  <c r="I95" i="73" s="1"/>
  <c r="AI4" i="33"/>
  <c r="E24" i="67"/>
  <c r="N24" i="67"/>
  <c r="F24" i="67"/>
  <c r="G24" i="67"/>
  <c r="AI5" i="33"/>
  <c r="C15" i="45"/>
  <c r="D96" i="73"/>
  <c r="AI6" i="33"/>
  <c r="G25" i="67"/>
  <c r="I97" i="73" s="1"/>
  <c r="N25" i="67"/>
  <c r="E25" i="67"/>
  <c r="F25" i="67"/>
  <c r="G97" i="73" s="1"/>
  <c r="D97" i="73"/>
  <c r="F22" i="67"/>
  <c r="G94" i="73" s="1"/>
  <c r="E22" i="67"/>
  <c r="AI3" i="33"/>
  <c r="D94" i="73"/>
  <c r="G22" i="67"/>
  <c r="I94" i="73" s="1"/>
  <c r="N22" i="67"/>
  <c r="H21" i="67" a="1"/>
  <c r="M22" i="67" a="1"/>
  <c r="BA6" i="65"/>
  <c r="CA5" i="65"/>
  <c r="BA5" i="65"/>
  <c r="BA8" i="65"/>
  <c r="BA7" i="65"/>
  <c r="BO8" i="65"/>
  <c r="BO5" i="65"/>
  <c r="CA7" i="65"/>
  <c r="BO6" i="65"/>
  <c r="CA8" i="65"/>
  <c r="BO7" i="65"/>
  <c r="CA6" i="65"/>
  <c r="G23" i="65"/>
  <c r="I63" i="73" s="1"/>
  <c r="N23" i="65"/>
  <c r="E23" i="65"/>
  <c r="W4" i="33"/>
  <c r="F23" i="65"/>
  <c r="G63" i="73" s="1"/>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I62" i="73" s="1"/>
  <c r="F22" i="65"/>
  <c r="G62" i="73" s="1"/>
  <c r="M22" i="65" a="1"/>
  <c r="E22" i="65"/>
  <c r="W3" i="33"/>
  <c r="H21" i="65" a="1"/>
  <c r="D62" i="73"/>
  <c r="N22" i="65"/>
  <c r="F25" i="64"/>
  <c r="G57" i="73" s="1"/>
  <c r="N25" i="64"/>
  <c r="D57" i="73"/>
  <c r="E25" i="64"/>
  <c r="T6" i="33"/>
  <c r="G25" i="64"/>
  <c r="I57" i="73" s="1"/>
  <c r="G22" i="64"/>
  <c r="I54" i="73" s="1"/>
  <c r="D54" i="73"/>
  <c r="E22" i="64"/>
  <c r="T3" i="33"/>
  <c r="H21" i="64" a="1"/>
  <c r="F22" i="64"/>
  <c r="G54" i="73" s="1"/>
  <c r="M22" i="64" a="1"/>
  <c r="N22" i="64"/>
  <c r="T4" i="33"/>
  <c r="G23" i="64"/>
  <c r="I55" i="73" s="1"/>
  <c r="N23" i="64"/>
  <c r="F23" i="64"/>
  <c r="G55" i="73" s="1"/>
  <c r="E23" i="64"/>
  <c r="D55" i="73"/>
  <c r="D65" i="73"/>
  <c r="W6" i="33"/>
  <c r="N25" i="65"/>
  <c r="E25" i="65"/>
  <c r="G25" i="65"/>
  <c r="I65" i="73" s="1"/>
  <c r="F25" i="65"/>
  <c r="G65" i="73" s="1"/>
  <c r="C11" i="45"/>
  <c r="F24" i="65"/>
  <c r="G24" i="65"/>
  <c r="E24" i="65"/>
  <c r="N24" i="65"/>
  <c r="W5" i="33"/>
  <c r="D64" i="73"/>
  <c r="N24" i="64"/>
  <c r="C10" i="45"/>
  <c r="E24" i="64"/>
  <c r="T5" i="33"/>
  <c r="D56" i="73"/>
  <c r="F24" i="64"/>
  <c r="G24" i="64"/>
  <c r="D22" i="72"/>
  <c r="D24" i="72"/>
  <c r="D23" i="72"/>
  <c r="D25" i="72"/>
  <c r="AY14" i="72"/>
  <c r="D24" i="63"/>
  <c r="D22" i="63"/>
  <c r="D25" i="63"/>
  <c r="D23" i="63"/>
  <c r="AY14" i="63"/>
  <c r="D24" i="66"/>
  <c r="D25" i="66"/>
  <c r="D22" i="66"/>
  <c r="D23" i="66"/>
  <c r="CC14" i="67" l="1" a="1"/>
  <c r="BZ14" i="67" a="1"/>
  <c r="CA14" i="67" a="1"/>
  <c r="CB14" i="67" a="1"/>
  <c r="BP14" i="67" a="1"/>
  <c r="BP15" i="67" s="1"/>
  <c r="BQ14" i="67" a="1"/>
  <c r="BN14" i="67" a="1"/>
  <c r="BN16" i="67" s="1"/>
  <c r="BO14" i="67" a="1"/>
  <c r="BO17" i="67" s="1"/>
  <c r="BB14" i="67" a="1"/>
  <c r="BB16" i="67" s="1"/>
  <c r="Q96" i="73" s="1"/>
  <c r="AZ14" i="67" a="1"/>
  <c r="AZ17" i="67" s="1"/>
  <c r="O97" i="73" s="1"/>
  <c r="BC14" i="67" a="1"/>
  <c r="BC14" i="67" s="1"/>
  <c r="R94" i="73" s="1"/>
  <c r="BA14" i="67" a="1"/>
  <c r="BA17" i="67" s="1"/>
  <c r="P97" i="73"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G46" i="73" s="1"/>
  <c r="E22" i="71"/>
  <c r="H21" i="71" a="1"/>
  <c r="G22" i="71"/>
  <c r="I46" i="73" s="1"/>
  <c r="M22" i="71" a="1"/>
  <c r="N22" i="71"/>
  <c r="D46" i="73"/>
  <c r="Q3" i="33"/>
  <c r="F23" i="71"/>
  <c r="G47" i="73" s="1"/>
  <c r="D47" i="73"/>
  <c r="Q4" i="33"/>
  <c r="E23" i="71"/>
  <c r="G23" i="71"/>
  <c r="I47" i="73" s="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I49" i="73" s="1"/>
  <c r="D49" i="73"/>
  <c r="Q6" i="33"/>
  <c r="F25" i="71"/>
  <c r="G49" i="73" s="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I6" i="73" s="1"/>
  <c r="F22" i="61"/>
  <c r="G6" i="73" s="1"/>
  <c r="B3" i="33"/>
  <c r="D6" i="73"/>
  <c r="N22" i="61"/>
  <c r="M22" i="61" a="1"/>
  <c r="H21" i="61" a="1"/>
  <c r="F15" i="73"/>
  <c r="E25" i="61"/>
  <c r="B6" i="33"/>
  <c r="F25" i="61"/>
  <c r="G9" i="73" s="1"/>
  <c r="N25" i="61"/>
  <c r="D9" i="73"/>
  <c r="G25" i="61"/>
  <c r="I9" i="73" s="1"/>
  <c r="F24" i="61"/>
  <c r="D8" i="73"/>
  <c r="E24" i="61"/>
  <c r="B5" i="33"/>
  <c r="N24" i="61"/>
  <c r="G24" i="61"/>
  <c r="C4" i="45"/>
  <c r="G23" i="61"/>
  <c r="I7" i="73" s="1"/>
  <c r="D7" i="73"/>
  <c r="B4" i="33"/>
  <c r="E23" i="61"/>
  <c r="N23" i="61"/>
  <c r="F23" i="61"/>
  <c r="G7" i="73" s="1"/>
  <c r="F71" i="73"/>
  <c r="F17" i="73"/>
  <c r="F73" i="73"/>
  <c r="BA8" i="70"/>
  <c r="CA7" i="70"/>
  <c r="BA6" i="70"/>
  <c r="BO8" i="70"/>
  <c r="CA5" i="70"/>
  <c r="CA8" i="70"/>
  <c r="BO6" i="70"/>
  <c r="BO7" i="70"/>
  <c r="BA5" i="70"/>
  <c r="BO5" i="70"/>
  <c r="BA7" i="70"/>
  <c r="CA6" i="70"/>
  <c r="N25" i="70"/>
  <c r="F25" i="70"/>
  <c r="G33" i="73" s="1"/>
  <c r="G25" i="70"/>
  <c r="I33" i="73" s="1"/>
  <c r="D33" i="73"/>
  <c r="K6" i="33"/>
  <c r="E25" i="70"/>
  <c r="E23" i="70"/>
  <c r="G23" i="70"/>
  <c r="I31" i="73" s="1"/>
  <c r="N23" i="70"/>
  <c r="K4" i="33"/>
  <c r="D31" i="73"/>
  <c r="F23" i="70"/>
  <c r="G31" i="73" s="1"/>
  <c r="F14" i="73"/>
  <c r="E24" i="70"/>
  <c r="N24" i="70"/>
  <c r="K5" i="33"/>
  <c r="F24" i="70"/>
  <c r="D32" i="73"/>
  <c r="G24" i="70"/>
  <c r="C7" i="45"/>
  <c r="N22" i="70"/>
  <c r="M22" i="70" a="1"/>
  <c r="F22" i="70"/>
  <c r="G30" i="73" s="1"/>
  <c r="K3" i="33"/>
  <c r="D30" i="73"/>
  <c r="H21" i="70" a="1"/>
  <c r="E22" i="70"/>
  <c r="G22" i="70"/>
  <c r="I30" i="73" s="1"/>
  <c r="G5" i="45"/>
  <c r="I16" i="73"/>
  <c r="L22" i="62"/>
  <c r="F3" i="33"/>
  <c r="E14" i="73"/>
  <c r="F5" i="45"/>
  <c r="G16" i="73"/>
  <c r="L23" i="62"/>
  <c r="F4" i="33"/>
  <c r="E15" i="73"/>
  <c r="L24" i="62"/>
  <c r="E16" i="73"/>
  <c r="F5" i="33"/>
  <c r="D5" i="45"/>
  <c r="BZ14" i="62" a="1"/>
  <c r="CB14" i="62" a="1"/>
  <c r="CA14" i="62" a="1"/>
  <c r="CC14" i="62" a="1"/>
  <c r="K21" i="62"/>
  <c r="M13" i="73" s="1"/>
  <c r="J21" i="62"/>
  <c r="L13" i="73" s="1"/>
  <c r="H21" i="62"/>
  <c r="I21" i="62"/>
  <c r="K13" i="73" s="1"/>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I72" i="73"/>
  <c r="G12" i="45"/>
  <c r="AV70" i="73" a="1"/>
  <c r="AW70" i="73" a="1"/>
  <c r="F70" i="73"/>
  <c r="BB14" i="69" a="1"/>
  <c r="AZ14" i="69" a="1"/>
  <c r="BA14" i="69" a="1"/>
  <c r="BC14" i="69" a="1"/>
  <c r="F12" i="45"/>
  <c r="G72" i="73"/>
  <c r="M25" i="69"/>
  <c r="M23" i="69"/>
  <c r="M22" i="69"/>
  <c r="M24" i="69"/>
  <c r="D12" i="45"/>
  <c r="E72" i="73"/>
  <c r="L24" i="69"/>
  <c r="AA5" i="33"/>
  <c r="H21" i="69"/>
  <c r="I21" i="69"/>
  <c r="K69" i="73" s="1"/>
  <c r="J21" i="69"/>
  <c r="L69" i="73" s="1"/>
  <c r="K21" i="69"/>
  <c r="M69" i="73" s="1"/>
  <c r="E71" i="73"/>
  <c r="AA4" i="33"/>
  <c r="L23" i="69"/>
  <c r="K12" i="45"/>
  <c r="L12" i="45"/>
  <c r="E73" i="73"/>
  <c r="AA6" i="33"/>
  <c r="L25" i="69"/>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F63" i="73"/>
  <c r="F94" i="73"/>
  <c r="M25" i="67"/>
  <c r="M23" i="67"/>
  <c r="M24" i="67"/>
  <c r="M22" i="67"/>
  <c r="CA15" i="67"/>
  <c r="AL95" i="73" s="1"/>
  <c r="CA14" i="67"/>
  <c r="AL94" i="73" s="1"/>
  <c r="CA16" i="67"/>
  <c r="AL96" i="73" s="1"/>
  <c r="CA17" i="67"/>
  <c r="AL97" i="73" s="1"/>
  <c r="E96" i="73"/>
  <c r="AJ5" i="33"/>
  <c r="D15" i="45"/>
  <c r="L24" i="67"/>
  <c r="F62" i="73"/>
  <c r="K21" i="67"/>
  <c r="M93" i="73" s="1"/>
  <c r="I21" i="67"/>
  <c r="K93" i="73" s="1"/>
  <c r="H21" i="67"/>
  <c r="J21" i="67"/>
  <c r="L93" i="73" s="1"/>
  <c r="CB14" i="67"/>
  <c r="AM94" i="73" s="1"/>
  <c r="CB17" i="67"/>
  <c r="AM97" i="73" s="1"/>
  <c r="CB15" i="67"/>
  <c r="AM95" i="73" s="1"/>
  <c r="CB16" i="67"/>
  <c r="AM96" i="73" s="1"/>
  <c r="BZ16" i="67"/>
  <c r="AK96" i="73" s="1"/>
  <c r="AP96" i="73" s="1"/>
  <c r="BZ14" i="67"/>
  <c r="BZ15" i="67"/>
  <c r="AK95" i="73" s="1"/>
  <c r="AP95" i="73" s="1"/>
  <c r="BZ17" i="67"/>
  <c r="AK97" i="73" s="1"/>
  <c r="AP97" i="73" s="1"/>
  <c r="CC17" i="67"/>
  <c r="AN97" i="73" s="1"/>
  <c r="CC15" i="67"/>
  <c r="AN95" i="73" s="1"/>
  <c r="CC16" i="67"/>
  <c r="AN96" i="73" s="1"/>
  <c r="CC14" i="67"/>
  <c r="AN94" i="73" s="1"/>
  <c r="K15" i="45"/>
  <c r="L15" i="45"/>
  <c r="AJ4" i="33"/>
  <c r="E95" i="73"/>
  <c r="L23" i="67"/>
  <c r="BQ14" i="67"/>
  <c r="BQ15" i="67"/>
  <c r="BQ17" i="67"/>
  <c r="BQ16" i="67"/>
  <c r="AV94" i="73" a="1"/>
  <c r="AW94" i="73" a="1"/>
  <c r="F95" i="73"/>
  <c r="F55" i="73"/>
  <c r="F97" i="73"/>
  <c r="G15" i="45"/>
  <c r="I96" i="73"/>
  <c r="E94" i="73"/>
  <c r="L22" i="67"/>
  <c r="AJ3" i="33"/>
  <c r="E97" i="73"/>
  <c r="AJ6" i="33"/>
  <c r="L25" i="67"/>
  <c r="F15" i="45"/>
  <c r="G96" i="73"/>
  <c r="M22" i="64"/>
  <c r="M23" i="64"/>
  <c r="M24" i="64"/>
  <c r="M25" i="64"/>
  <c r="G25" i="66"/>
  <c r="I81" i="73" s="1"/>
  <c r="N25" i="66"/>
  <c r="E25" i="66"/>
  <c r="D81" i="73"/>
  <c r="F25" i="66"/>
  <c r="G81" i="73" s="1"/>
  <c r="AC6" i="33"/>
  <c r="G10" i="45"/>
  <c r="I56" i="73"/>
  <c r="L25" i="65"/>
  <c r="E65" i="73"/>
  <c r="X6" i="33"/>
  <c r="F57" i="73"/>
  <c r="BB14" i="64" a="1"/>
  <c r="AZ14" i="64" a="1"/>
  <c r="BA14" i="64" a="1"/>
  <c r="BC14" i="64" a="1"/>
  <c r="X4" i="33"/>
  <c r="E63" i="73"/>
  <c r="L23" i="65"/>
  <c r="BB14" i="65" a="1"/>
  <c r="AZ14" i="65" a="1"/>
  <c r="BA14" i="65" a="1"/>
  <c r="BC14" i="65" a="1"/>
  <c r="G23" i="66"/>
  <c r="I79" i="73" s="1"/>
  <c r="F23" i="66"/>
  <c r="G79" i="73" s="1"/>
  <c r="N23" i="66"/>
  <c r="D79" i="73"/>
  <c r="AC4" i="33"/>
  <c r="E23" i="66"/>
  <c r="N6" i="33"/>
  <c r="E25" i="72"/>
  <c r="G25" i="72"/>
  <c r="I41" i="73" s="1"/>
  <c r="D41" i="73"/>
  <c r="F25" i="72"/>
  <c r="G41" i="73" s="1"/>
  <c r="N25" i="72"/>
  <c r="G24" i="66"/>
  <c r="C13" i="45"/>
  <c r="N24" i="66"/>
  <c r="AC5" i="33"/>
  <c r="D80" i="73"/>
  <c r="E24" i="66"/>
  <c r="F24" i="66"/>
  <c r="E23" i="72"/>
  <c r="F23" i="72"/>
  <c r="G39" i="73" s="1"/>
  <c r="N23" i="72"/>
  <c r="G23" i="72"/>
  <c r="I39" i="73" s="1"/>
  <c r="N4" i="33"/>
  <c r="D39" i="73"/>
  <c r="F10" i="45"/>
  <c r="G56" i="73"/>
  <c r="E55" i="73"/>
  <c r="U4" i="33"/>
  <c r="L23" i="64"/>
  <c r="F54" i="73"/>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K53" i="73" s="1"/>
  <c r="J21" i="64"/>
  <c r="L53" i="73" s="1"/>
  <c r="K21" i="64"/>
  <c r="M53" i="73" s="1"/>
  <c r="H21" i="64"/>
  <c r="AV62" i="73" a="1"/>
  <c r="AW62" i="73" a="1"/>
  <c r="BA14" i="66" a="1"/>
  <c r="BC14" i="66" a="1"/>
  <c r="AZ14" i="66" a="1"/>
  <c r="BB14" i="66" a="1"/>
  <c r="N22" i="66"/>
  <c r="D78" i="73"/>
  <c r="H21" i="66" a="1"/>
  <c r="M22" i="66" a="1"/>
  <c r="F22" i="66"/>
  <c r="G78" i="73" s="1"/>
  <c r="AC3" i="33"/>
  <c r="E22" i="66"/>
  <c r="G22" i="66"/>
  <c r="I78" i="73" s="1"/>
  <c r="E22" i="72"/>
  <c r="G22" i="72"/>
  <c r="I38" i="73" s="1"/>
  <c r="D38" i="73"/>
  <c r="M22" i="72" a="1"/>
  <c r="H21" i="72" a="1"/>
  <c r="N3" i="33"/>
  <c r="F22" i="72"/>
  <c r="G38" i="73" s="1"/>
  <c r="N22" i="72"/>
  <c r="K21" i="65"/>
  <c r="M61" i="73" s="1"/>
  <c r="I21" i="65"/>
  <c r="K61" i="73" s="1"/>
  <c r="J21" i="65"/>
  <c r="L61" i="73" s="1"/>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I25" i="73" s="1"/>
  <c r="F25" i="63"/>
  <c r="G25" i="73" s="1"/>
  <c r="D25" i="73"/>
  <c r="N25" i="63"/>
  <c r="E25" i="63"/>
  <c r="H6" i="33"/>
  <c r="F11" i="45"/>
  <c r="E11" i="45" s="1"/>
  <c r="G64" i="73"/>
  <c r="BO14" i="65" a="1"/>
  <c r="BQ14" i="65" a="1"/>
  <c r="BP14" i="65" a="1"/>
  <c r="BN14" i="65" a="1"/>
  <c r="M22" i="65"/>
  <c r="M24" i="65"/>
  <c r="M25" i="65"/>
  <c r="M23" i="65"/>
  <c r="E23" i="63"/>
  <c r="G23" i="63"/>
  <c r="I23" i="73" s="1"/>
  <c r="N23" i="63"/>
  <c r="D23" i="73"/>
  <c r="F23" i="63"/>
  <c r="G23" i="73" s="1"/>
  <c r="H4" i="33"/>
  <c r="D10" i="45"/>
  <c r="L24" i="64"/>
  <c r="E56" i="73"/>
  <c r="U5" i="33"/>
  <c r="L22" i="64"/>
  <c r="E54" i="73"/>
  <c r="U3" i="33"/>
  <c r="G22" i="63"/>
  <c r="I22" i="73" s="1"/>
  <c r="H3" i="33"/>
  <c r="N22" i="63"/>
  <c r="H21" i="63" a="1"/>
  <c r="E22" i="63"/>
  <c r="M22" i="63" a="1"/>
  <c r="D22" i="73"/>
  <c r="F22" i="63"/>
  <c r="G22" i="73" s="1"/>
  <c r="K10" i="45"/>
  <c r="L10" i="45"/>
  <c r="L11" i="45"/>
  <c r="K11" i="45"/>
  <c r="AV54" i="73" a="1"/>
  <c r="AW54" i="73" a="1"/>
  <c r="L25" i="64"/>
  <c r="U6" i="33"/>
  <c r="E57" i="73"/>
  <c r="CB14" i="64" a="1"/>
  <c r="CA14" i="64" a="1"/>
  <c r="CC14" i="64" a="1"/>
  <c r="BZ14" i="64" a="1"/>
  <c r="E24" i="63"/>
  <c r="F24" i="63"/>
  <c r="G24" i="63"/>
  <c r="H5" i="33"/>
  <c r="C6" i="45"/>
  <c r="D24" i="73"/>
  <c r="N24" i="63"/>
  <c r="F65" i="73"/>
  <c r="X3" i="33"/>
  <c r="L22" i="65"/>
  <c r="E62" i="73"/>
  <c r="BN14" i="67" l="1"/>
  <c r="BP16" i="67"/>
  <c r="BP14" i="67"/>
  <c r="BP17" i="67"/>
  <c r="BO16" i="67"/>
  <c r="BN15" i="67"/>
  <c r="BN17" i="67"/>
  <c r="F64" i="73"/>
  <c r="BO15" i="67"/>
  <c r="BO14" i="67"/>
  <c r="BB14" i="67"/>
  <c r="Q94" i="73" s="1"/>
  <c r="BB15" i="67"/>
  <c r="Q95" i="73" s="1"/>
  <c r="BB17" i="67"/>
  <c r="Q97" i="73" s="1"/>
  <c r="AZ15" i="67"/>
  <c r="O95" i="73" s="1"/>
  <c r="AZ14" i="67"/>
  <c r="O94" i="73" s="1"/>
  <c r="AZ16" i="67"/>
  <c r="O96" i="73" s="1"/>
  <c r="BA16" i="67"/>
  <c r="P96" i="73" s="1"/>
  <c r="BC17" i="67"/>
  <c r="R97" i="73" s="1"/>
  <c r="BC15" i="67"/>
  <c r="R95" i="73" s="1"/>
  <c r="BA14" i="67"/>
  <c r="P94" i="73" s="1"/>
  <c r="BC16" i="67"/>
  <c r="R96" i="73" s="1"/>
  <c r="BA15" i="67"/>
  <c r="P95" i="73" s="1"/>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M45" i="73" s="1"/>
  <c r="J21" i="71"/>
  <c r="L45" i="73" s="1"/>
  <c r="I21" i="71"/>
  <c r="K45" i="73" s="1"/>
  <c r="H21" i="71"/>
  <c r="BC22" i="61" a="1"/>
  <c r="BC25" i="61" s="1"/>
  <c r="R6" i="33"/>
  <c r="E49" i="73"/>
  <c r="L25" i="71"/>
  <c r="E48" i="73"/>
  <c r="L24" i="71"/>
  <c r="R5" i="33"/>
  <c r="D9" i="45"/>
  <c r="E46" i="73"/>
  <c r="L22" i="71"/>
  <c r="R3" i="33"/>
  <c r="BB23" i="62"/>
  <c r="BB22" i="61" a="1"/>
  <c r="BB23" i="61" s="1"/>
  <c r="BB22" i="71" a="1"/>
  <c r="BA22" i="71" a="1"/>
  <c r="AZ22" i="71" a="1"/>
  <c r="BC22" i="71" a="1"/>
  <c r="F47" i="73"/>
  <c r="F46" i="73"/>
  <c r="BB25" i="62"/>
  <c r="F49" i="73"/>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31" i="73"/>
  <c r="F72" i="73"/>
  <c r="E5" i="45"/>
  <c r="H5" i="45" s="1"/>
  <c r="F6" i="73"/>
  <c r="BO14" i="61" a="1"/>
  <c r="BQ14" i="61" a="1"/>
  <c r="BN14" i="61" a="1"/>
  <c r="L23" i="61"/>
  <c r="C4" i="33"/>
  <c r="E7" i="73"/>
  <c r="G8" i="73"/>
  <c r="F4" i="45"/>
  <c r="C3" i="33"/>
  <c r="E6" i="73"/>
  <c r="L22" i="61"/>
  <c r="I21" i="61"/>
  <c r="K5" i="73" s="1"/>
  <c r="J21" i="61"/>
  <c r="L5" i="73" s="1"/>
  <c r="K21" i="61"/>
  <c r="M5" i="73" s="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F7" i="73"/>
  <c r="F9" i="73"/>
  <c r="AW6" i="73" a="1"/>
  <c r="AV6" i="73" a="1"/>
  <c r="AV30" i="73" a="1"/>
  <c r="AW30" i="73" a="1"/>
  <c r="F7" i="45"/>
  <c r="G32" i="73"/>
  <c r="CA14" i="70" a="1"/>
  <c r="CC14" i="70" a="1"/>
  <c r="CB14" i="70" a="1"/>
  <c r="BZ14" i="70" a="1"/>
  <c r="F30" i="73"/>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L29" i="73" s="1"/>
  <c r="K21" i="70"/>
  <c r="M29" i="73" s="1"/>
  <c r="I21" i="70"/>
  <c r="K29" i="73" s="1"/>
  <c r="H21" i="70"/>
  <c r="F33" i="73"/>
  <c r="B14" i="73" a="1"/>
  <c r="B16" i="73" s="1"/>
  <c r="F16" i="73"/>
  <c r="AV14" i="73"/>
  <c r="AV15" i="73"/>
  <c r="AV16" i="73"/>
  <c r="AV17" i="73"/>
  <c r="CB14" i="62"/>
  <c r="AM14" i="73" s="1"/>
  <c r="CB16" i="62"/>
  <c r="AM16" i="73" s="1"/>
  <c r="CB15" i="62"/>
  <c r="AM15" i="73" s="1"/>
  <c r="CB17" i="62"/>
  <c r="AM17" i="73" s="1"/>
  <c r="F43" i="33"/>
  <c r="E43" i="33"/>
  <c r="N80" i="22" s="1"/>
  <c r="J77" i="22" s="1"/>
  <c r="BZ17" i="62"/>
  <c r="AK17" i="73" s="1"/>
  <c r="AP17" i="73" s="1"/>
  <c r="BZ14" i="62"/>
  <c r="BZ16" i="62"/>
  <c r="AK16" i="73" s="1"/>
  <c r="BZ15" i="62"/>
  <c r="AK15" i="73" s="1"/>
  <c r="AP15" i="73" s="1"/>
  <c r="E45" i="33"/>
  <c r="F45" i="33"/>
  <c r="BC16" i="62"/>
  <c r="R16" i="73" s="1"/>
  <c r="BC14" i="62"/>
  <c r="R14" i="73" s="1"/>
  <c r="BC15" i="62"/>
  <c r="R15" i="73" s="1"/>
  <c r="BC17" i="62"/>
  <c r="R17" i="73" s="1"/>
  <c r="BA16" i="62"/>
  <c r="P16" i="73" s="1"/>
  <c r="BA17" i="62"/>
  <c r="P17" i="73" s="1"/>
  <c r="BA14" i="62"/>
  <c r="P14" i="73" s="1"/>
  <c r="BA15" i="62"/>
  <c r="P15" i="73" s="1"/>
  <c r="J13" i="73"/>
  <c r="H22" i="62" a="1"/>
  <c r="BO17" i="62"/>
  <c r="BO14" i="62"/>
  <c r="BO15" i="62"/>
  <c r="BO16" i="62"/>
  <c r="AZ17" i="62"/>
  <c r="O17" i="73" s="1"/>
  <c r="AZ14" i="62"/>
  <c r="AZ15" i="62"/>
  <c r="O15" i="73" s="1"/>
  <c r="AZ16" i="62"/>
  <c r="O16" i="73" s="1"/>
  <c r="BP14" i="62"/>
  <c r="BP15" i="62"/>
  <c r="BP17" i="62"/>
  <c r="BP16" i="62"/>
  <c r="BB15" i="62"/>
  <c r="Q15" i="73" s="1"/>
  <c r="BB16" i="62"/>
  <c r="Q16" i="73" s="1"/>
  <c r="BB14" i="62"/>
  <c r="Q14" i="73" s="1"/>
  <c r="BB17" i="62"/>
  <c r="Q17" i="73" s="1"/>
  <c r="E44" i="33"/>
  <c r="F44" i="33"/>
  <c r="E42" i="33"/>
  <c r="N79" i="22" s="1"/>
  <c r="I89" i="22" s="1"/>
  <c r="F42" i="33"/>
  <c r="BQ15" i="62"/>
  <c r="BQ16" i="62"/>
  <c r="BQ14" i="62"/>
  <c r="BQ17" i="62"/>
  <c r="CC16" i="62"/>
  <c r="AN16" i="73" s="1"/>
  <c r="CC17" i="62"/>
  <c r="AN17" i="73" s="1"/>
  <c r="CC14" i="62"/>
  <c r="AN14" i="73" s="1"/>
  <c r="CC15" i="62"/>
  <c r="AN15" i="73" s="1"/>
  <c r="AW15" i="73"/>
  <c r="AW16" i="73"/>
  <c r="AW17" i="73"/>
  <c r="AW14" i="73"/>
  <c r="BN15" i="62"/>
  <c r="BN17" i="62"/>
  <c r="BN14" i="62"/>
  <c r="BN16" i="62"/>
  <c r="CA15" i="62"/>
  <c r="AL15" i="73" s="1"/>
  <c r="CA16" i="62"/>
  <c r="AL16" i="73" s="1"/>
  <c r="CA17" i="62"/>
  <c r="AL17" i="73" s="1"/>
  <c r="CA14" i="62"/>
  <c r="AL14" i="73" s="1"/>
  <c r="BZ14" i="69"/>
  <c r="BZ16" i="69"/>
  <c r="AK72" i="73" s="1"/>
  <c r="AP72" i="73" s="1"/>
  <c r="BZ17" i="69"/>
  <c r="AK73" i="73" s="1"/>
  <c r="AP73" i="73" s="1"/>
  <c r="BZ15" i="69"/>
  <c r="AK71" i="73" s="1"/>
  <c r="AP71" i="73" s="1"/>
  <c r="J69" i="73"/>
  <c r="H22" i="69" a="1"/>
  <c r="AW70" i="73"/>
  <c r="AW71" i="73"/>
  <c r="AW72" i="73"/>
  <c r="AW73" i="73"/>
  <c r="BQ16" i="69"/>
  <c r="BQ17" i="69"/>
  <c r="BQ14" i="69"/>
  <c r="BQ15" i="69"/>
  <c r="AV70" i="73"/>
  <c r="AV71" i="73"/>
  <c r="AV72" i="73"/>
  <c r="AV73" i="73"/>
  <c r="BN17" i="69"/>
  <c r="BN14" i="69"/>
  <c r="BN15" i="69"/>
  <c r="BN16" i="69"/>
  <c r="F89" i="73"/>
  <c r="Z43" i="33"/>
  <c r="N94" i="22" s="1"/>
  <c r="J82" i="22" s="1"/>
  <c r="AA43" i="33"/>
  <c r="Z44" i="33"/>
  <c r="AA44" i="33"/>
  <c r="BO14" i="69"/>
  <c r="BO15" i="69"/>
  <c r="BO16" i="69"/>
  <c r="BO17" i="69"/>
  <c r="BC14" i="69"/>
  <c r="R70" i="73" s="1"/>
  <c r="BC16" i="69"/>
  <c r="R72" i="73" s="1"/>
  <c r="BC15" i="69"/>
  <c r="R71" i="73" s="1"/>
  <c r="BC17" i="69"/>
  <c r="R73" i="73" s="1"/>
  <c r="BP14" i="69"/>
  <c r="BP15" i="69"/>
  <c r="BP16" i="69"/>
  <c r="BP17" i="69"/>
  <c r="BA17" i="69"/>
  <c r="P73" i="73" s="1"/>
  <c r="BA14" i="69"/>
  <c r="P70" i="73" s="1"/>
  <c r="BA15" i="69"/>
  <c r="P71" i="73" s="1"/>
  <c r="BA16" i="69"/>
  <c r="P72" i="73" s="1"/>
  <c r="CC16" i="69"/>
  <c r="AN72" i="73" s="1"/>
  <c r="CC14" i="69"/>
  <c r="AN70" i="73" s="1"/>
  <c r="CC15" i="69"/>
  <c r="AN71" i="73" s="1"/>
  <c r="CC17" i="69"/>
  <c r="AN73" i="73" s="1"/>
  <c r="AA45" i="33"/>
  <c r="Z45" i="33"/>
  <c r="AZ16" i="69"/>
  <c r="O72" i="73" s="1"/>
  <c r="AZ15" i="69"/>
  <c r="O71" i="73" s="1"/>
  <c r="AZ14" i="69"/>
  <c r="AZ17" i="69"/>
  <c r="O73" i="73" s="1"/>
  <c r="CA17" i="69"/>
  <c r="AL73" i="73" s="1"/>
  <c r="CA16" i="69"/>
  <c r="AL72" i="73" s="1"/>
  <c r="CA14" i="69"/>
  <c r="AL70" i="73" s="1"/>
  <c r="CA15" i="69"/>
  <c r="AL71" i="73" s="1"/>
  <c r="AA42" i="33"/>
  <c r="Z42" i="33"/>
  <c r="N93" i="22" s="1"/>
  <c r="I81" i="22" s="1"/>
  <c r="B70" i="73" a="1"/>
  <c r="BB14" i="69"/>
  <c r="Q70" i="73" s="1"/>
  <c r="BB16" i="69"/>
  <c r="Q72" i="73" s="1"/>
  <c r="BB15" i="69"/>
  <c r="Q71" i="73" s="1"/>
  <c r="BB17" i="69"/>
  <c r="Q73" i="73" s="1"/>
  <c r="CB16" i="69"/>
  <c r="AM72" i="73" s="1"/>
  <c r="CB15" i="69"/>
  <c r="AM71" i="73" s="1"/>
  <c r="CB14" i="69"/>
  <c r="AM70" i="73" s="1"/>
  <c r="CB17" i="69"/>
  <c r="AM73" i="73" s="1"/>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F25" i="73"/>
  <c r="F79" i="73"/>
  <c r="F96" i="73"/>
  <c r="F56" i="73"/>
  <c r="F81" i="73"/>
  <c r="B94" i="73" a="1"/>
  <c r="B94" i="73" s="1"/>
  <c r="E10" i="45"/>
  <c r="H10" i="45" s="1"/>
  <c r="F23" i="73"/>
  <c r="B62" i="73" a="1"/>
  <c r="B62" i="73" s="1"/>
  <c r="E15" i="45"/>
  <c r="H15" i="45" s="1"/>
  <c r="J93" i="73"/>
  <c r="H22" i="67" a="1"/>
  <c r="AI44" i="33"/>
  <c r="AJ44" i="33"/>
  <c r="AJ45" i="33"/>
  <c r="AI45" i="33"/>
  <c r="CE13" i="67" a="1"/>
  <c r="AK92" i="73"/>
  <c r="AK94" i="73"/>
  <c r="AP94" i="73" s="1"/>
  <c r="AI43" i="33"/>
  <c r="N100" i="22" s="1"/>
  <c r="J87" i="22" s="1"/>
  <c r="AJ43" i="33"/>
  <c r="AW95" i="73"/>
  <c r="AW97" i="73"/>
  <c r="AW96" i="73"/>
  <c r="AW94" i="73"/>
  <c r="AJ42" i="33"/>
  <c r="AI42" i="33"/>
  <c r="N99" i="22" s="1"/>
  <c r="I84" i="22" s="1"/>
  <c r="AV94" i="73"/>
  <c r="AV95" i="73"/>
  <c r="AV96" i="73"/>
  <c r="AV97" i="73"/>
  <c r="B54" i="73" a="1"/>
  <c r="B54" i="73" s="1"/>
  <c r="F39" i="73"/>
  <c r="M24" i="63"/>
  <c r="M22" i="63"/>
  <c r="M23" i="63"/>
  <c r="M25" i="63"/>
  <c r="AW63" i="73"/>
  <c r="AW65" i="73"/>
  <c r="AW62" i="73"/>
  <c r="AW64" i="73"/>
  <c r="I3" i="33"/>
  <c r="E22" i="73"/>
  <c r="L22" i="63"/>
  <c r="BN16" i="65"/>
  <c r="BN17" i="65"/>
  <c r="BN14" i="65"/>
  <c r="BN15" i="65"/>
  <c r="BP14" i="66"/>
  <c r="BP15" i="66"/>
  <c r="BP16" i="66"/>
  <c r="BP17" i="66"/>
  <c r="I21" i="66"/>
  <c r="K77" i="73" s="1"/>
  <c r="J21" i="66"/>
  <c r="L77" i="73" s="1"/>
  <c r="K21" i="66"/>
  <c r="M77" i="73" s="1"/>
  <c r="H21" i="66"/>
  <c r="AV62" i="73"/>
  <c r="AV63" i="73"/>
  <c r="AV64" i="73"/>
  <c r="AV65" i="73"/>
  <c r="H11" i="45"/>
  <c r="CC16" i="65"/>
  <c r="AN64" i="73" s="1"/>
  <c r="CC14" i="65"/>
  <c r="AN62" i="73" s="1"/>
  <c r="CC17" i="65"/>
  <c r="AN65" i="73" s="1"/>
  <c r="CC15" i="65"/>
  <c r="AN63" i="73" s="1"/>
  <c r="O4" i="33"/>
  <c r="E39" i="73"/>
  <c r="L23" i="72"/>
  <c r="W43" i="33"/>
  <c r="N92" i="22" s="1"/>
  <c r="J90" i="22" s="1"/>
  <c r="X43" i="33"/>
  <c r="L25" i="66"/>
  <c r="AD6" i="33"/>
  <c r="E81" i="73"/>
  <c r="CA16" i="64"/>
  <c r="AL56" i="73" s="1"/>
  <c r="CA17" i="64"/>
  <c r="AL57" i="73" s="1"/>
  <c r="CA14" i="64"/>
  <c r="AL54" i="73" s="1"/>
  <c r="CA15" i="64"/>
  <c r="AL55" i="73" s="1"/>
  <c r="BN14" i="66"/>
  <c r="BN15" i="66"/>
  <c r="BN16" i="66"/>
  <c r="BN17" i="66"/>
  <c r="I80" i="73"/>
  <c r="G13" i="45"/>
  <c r="I21" i="63"/>
  <c r="K21" i="73" s="1"/>
  <c r="K21" i="63"/>
  <c r="M21" i="73" s="1"/>
  <c r="J21" i="63"/>
  <c r="L21" i="73" s="1"/>
  <c r="H21" i="63"/>
  <c r="BP14" i="65"/>
  <c r="BP15" i="65"/>
  <c r="BP16" i="65"/>
  <c r="BP17" i="65"/>
  <c r="E25" i="73"/>
  <c r="L25" i="63"/>
  <c r="I6" i="33"/>
  <c r="BQ17" i="66"/>
  <c r="BQ14" i="66"/>
  <c r="BQ15" i="66"/>
  <c r="BQ16" i="66"/>
  <c r="F38" i="73"/>
  <c r="AW78" i="73" a="1"/>
  <c r="AV78" i="73" a="1"/>
  <c r="J53" i="73"/>
  <c r="H22" i="64" a="1"/>
  <c r="AZ14" i="63" a="1"/>
  <c r="BB14" i="63" a="1"/>
  <c r="BA14" i="63" a="1"/>
  <c r="BC14" i="63" a="1"/>
  <c r="BZ15" i="66"/>
  <c r="AK79" i="73" s="1"/>
  <c r="AP79" i="73" s="1"/>
  <c r="BZ17" i="66"/>
  <c r="AK81" i="73" s="1"/>
  <c r="AP81" i="73" s="1"/>
  <c r="BZ14" i="66"/>
  <c r="BZ16" i="66"/>
  <c r="AK80" i="73" s="1"/>
  <c r="AP80" i="73" s="1"/>
  <c r="F13" i="45"/>
  <c r="G80" i="73"/>
  <c r="F41" i="73"/>
  <c r="BQ17" i="65"/>
  <c r="BQ14" i="65"/>
  <c r="BQ15" i="65"/>
  <c r="BQ16" i="65"/>
  <c r="G8" i="45"/>
  <c r="I40" i="73"/>
  <c r="BA14" i="72" a="1"/>
  <c r="BB14" i="72" a="1"/>
  <c r="AZ14" i="72" a="1"/>
  <c r="BC14" i="72" a="1"/>
  <c r="BO14" i="66"/>
  <c r="BO15" i="66"/>
  <c r="BO16" i="66"/>
  <c r="BO17" i="66"/>
  <c r="CB16" i="66"/>
  <c r="AM80" i="73" s="1"/>
  <c r="CB14" i="66"/>
  <c r="AM78" i="73" s="1"/>
  <c r="CB17" i="66"/>
  <c r="AM81" i="73" s="1"/>
  <c r="CB15" i="66"/>
  <c r="AM79" i="73" s="1"/>
  <c r="D13" i="45"/>
  <c r="E80" i="73"/>
  <c r="L24" i="66"/>
  <c r="AD5" i="33"/>
  <c r="W45" i="33"/>
  <c r="X45" i="33"/>
  <c r="F6" i="45"/>
  <c r="G24" i="73"/>
  <c r="E24" i="73"/>
  <c r="D6" i="45"/>
  <c r="I5" i="33"/>
  <c r="L24" i="63"/>
  <c r="CB14" i="64"/>
  <c r="AM54" i="73" s="1"/>
  <c r="CB16" i="64"/>
  <c r="AM56" i="73" s="1"/>
  <c r="CB17" i="64"/>
  <c r="AM57" i="73" s="1"/>
  <c r="CB15" i="64"/>
  <c r="AM55" i="73" s="1"/>
  <c r="K6" i="45"/>
  <c r="L6" i="45"/>
  <c r="U45" i="33"/>
  <c r="T45" i="33"/>
  <c r="I4" i="33"/>
  <c r="L23" i="63"/>
  <c r="E23" i="73"/>
  <c r="BO14" i="65"/>
  <c r="BO15" i="65"/>
  <c r="BO16" i="65"/>
  <c r="BO17" i="65"/>
  <c r="F8" i="45"/>
  <c r="G40" i="73"/>
  <c r="BN16" i="64"/>
  <c r="BN15" i="64"/>
  <c r="BN14" i="64"/>
  <c r="BN17" i="64"/>
  <c r="J61" i="73"/>
  <c r="H22" i="65" a="1"/>
  <c r="I21" i="72"/>
  <c r="K37" i="73" s="1"/>
  <c r="H21" i="72"/>
  <c r="K21" i="72"/>
  <c r="M37" i="73" s="1"/>
  <c r="J21" i="72"/>
  <c r="L37" i="73" s="1"/>
  <c r="AD3" i="33"/>
  <c r="E78" i="73"/>
  <c r="L22" i="66"/>
  <c r="BB14" i="66"/>
  <c r="Q78" i="73" s="1"/>
  <c r="BB16" i="66"/>
  <c r="Q80" i="73" s="1"/>
  <c r="BB15" i="66"/>
  <c r="Q79" i="73" s="1"/>
  <c r="BB17" i="66"/>
  <c r="Q81" i="73" s="1"/>
  <c r="CB14" i="63" a="1"/>
  <c r="CA14" i="63" a="1"/>
  <c r="CC14" i="63" a="1"/>
  <c r="BZ14" i="63" a="1"/>
  <c r="CC17" i="66"/>
  <c r="AN81" i="73" s="1"/>
  <c r="CC15" i="66"/>
  <c r="AN79" i="73" s="1"/>
  <c r="CC16" i="66"/>
  <c r="AN80" i="73" s="1"/>
  <c r="CC14" i="66"/>
  <c r="AN78" i="73" s="1"/>
  <c r="BC14" i="64"/>
  <c r="R54" i="73" s="1"/>
  <c r="BC17" i="64"/>
  <c r="R57" i="73" s="1"/>
  <c r="BC16" i="64"/>
  <c r="R56" i="73" s="1"/>
  <c r="BC15" i="64"/>
  <c r="R55" i="73" s="1"/>
  <c r="X42" i="33"/>
  <c r="W42" i="33"/>
  <c r="N91" i="22" s="1"/>
  <c r="I88" i="22" s="1"/>
  <c r="L22" i="72"/>
  <c r="E38" i="73"/>
  <c r="O3" i="33"/>
  <c r="BB16" i="65"/>
  <c r="Q64" i="73" s="1"/>
  <c r="BB14" i="65"/>
  <c r="Q62" i="73" s="1"/>
  <c r="BB17" i="65"/>
  <c r="Q65" i="73" s="1"/>
  <c r="BB15" i="65"/>
  <c r="Q63" i="73" s="1"/>
  <c r="AW54" i="73"/>
  <c r="AW55" i="73"/>
  <c r="AW56" i="73"/>
  <c r="AW57" i="73"/>
  <c r="T44" i="33"/>
  <c r="U44" i="33"/>
  <c r="D8" i="45"/>
  <c r="L24" i="72"/>
  <c r="O5" i="33"/>
  <c r="E40" i="73"/>
  <c r="BQ15" i="64"/>
  <c r="BQ16" i="64"/>
  <c r="BQ17" i="64"/>
  <c r="BQ14" i="64"/>
  <c r="M22" i="72"/>
  <c r="M24" i="72"/>
  <c r="M25" i="72"/>
  <c r="M23" i="72"/>
  <c r="AZ14" i="66"/>
  <c r="AZ17" i="66"/>
  <c r="O81" i="73" s="1"/>
  <c r="AZ16" i="66"/>
  <c r="O80" i="73" s="1"/>
  <c r="AZ15" i="66"/>
  <c r="O79" i="73" s="1"/>
  <c r="CA17" i="66"/>
  <c r="AL81" i="73" s="1"/>
  <c r="CA15" i="66"/>
  <c r="AL79" i="73" s="1"/>
  <c r="CA14" i="66"/>
  <c r="AL78" i="73" s="1"/>
  <c r="CA16" i="66"/>
  <c r="AL80" i="73" s="1"/>
  <c r="E41" i="73"/>
  <c r="L25" i="72"/>
  <c r="O6" i="33"/>
  <c r="BC15" i="65"/>
  <c r="R63" i="73" s="1"/>
  <c r="BC17" i="65"/>
  <c r="R65" i="73" s="1"/>
  <c r="BC14" i="65"/>
  <c r="R62" i="73" s="1"/>
  <c r="BC16" i="65"/>
  <c r="R64" i="73" s="1"/>
  <c r="BA15" i="64"/>
  <c r="P55" i="73" s="1"/>
  <c r="BA16" i="64"/>
  <c r="P56" i="73" s="1"/>
  <c r="BA17" i="64"/>
  <c r="P57" i="73" s="1"/>
  <c r="BA14" i="64"/>
  <c r="P54" i="73" s="1"/>
  <c r="T42" i="33"/>
  <c r="N89" i="22" s="1"/>
  <c r="I86" i="22" s="1"/>
  <c r="U42" i="33"/>
  <c r="CC14" i="72" a="1"/>
  <c r="CA14" i="72" a="1"/>
  <c r="CB14" i="72" a="1"/>
  <c r="BZ14" i="72" a="1"/>
  <c r="CB16" i="65"/>
  <c r="AM64" i="73" s="1"/>
  <c r="CB14" i="65"/>
  <c r="AM62" i="73" s="1"/>
  <c r="CB17" i="65"/>
  <c r="AM65" i="73" s="1"/>
  <c r="CB15" i="65"/>
  <c r="AM63" i="73" s="1"/>
  <c r="G6" i="45"/>
  <c r="I24" i="73"/>
  <c r="BZ16" i="64"/>
  <c r="AK56" i="73" s="1"/>
  <c r="BZ14" i="64"/>
  <c r="BZ17" i="64"/>
  <c r="AK57" i="73" s="1"/>
  <c r="BZ15" i="64"/>
  <c r="AK55" i="73" s="1"/>
  <c r="AP55" i="73" s="1"/>
  <c r="AV55" i="73"/>
  <c r="AV56" i="73"/>
  <c r="AV54" i="73"/>
  <c r="AV57" i="73"/>
  <c r="F22" i="73"/>
  <c r="BP14" i="72" a="1"/>
  <c r="BO14" i="72" a="1"/>
  <c r="BQ14" i="72" a="1"/>
  <c r="BN14" i="72" a="1"/>
  <c r="BO17" i="64"/>
  <c r="BO14" i="64"/>
  <c r="BO15" i="64"/>
  <c r="BO16" i="64"/>
  <c r="AV38" i="73" a="1"/>
  <c r="AW38" i="73" a="1"/>
  <c r="F78" i="73"/>
  <c r="BC15" i="66"/>
  <c r="R79" i="73" s="1"/>
  <c r="BC17" i="66"/>
  <c r="R81" i="73" s="1"/>
  <c r="BC16" i="66"/>
  <c r="R80" i="73" s="1"/>
  <c r="BC14" i="66"/>
  <c r="R78" i="73" s="1"/>
  <c r="BZ14" i="65"/>
  <c r="BZ16" i="65"/>
  <c r="AK64" i="73" s="1"/>
  <c r="AP64" i="73" s="1"/>
  <c r="BZ15" i="65"/>
  <c r="AK63" i="73" s="1"/>
  <c r="AP63" i="73" s="1"/>
  <c r="BZ17" i="65"/>
  <c r="AK65" i="73" s="1"/>
  <c r="AP65" i="73" s="1"/>
  <c r="BA16" i="65"/>
  <c r="P64" i="73" s="1"/>
  <c r="BA17" i="65"/>
  <c r="P65" i="73" s="1"/>
  <c r="BA14" i="65"/>
  <c r="P62" i="73" s="1"/>
  <c r="BA15" i="65"/>
  <c r="P63" i="73" s="1"/>
  <c r="AZ16" i="64"/>
  <c r="O56" i="73" s="1"/>
  <c r="AZ15" i="64"/>
  <c r="O55" i="73" s="1"/>
  <c r="AZ14" i="64"/>
  <c r="AZ17" i="64"/>
  <c r="O57" i="73" s="1"/>
  <c r="CC15" i="64"/>
  <c r="AN55" i="73" s="1"/>
  <c r="CC17" i="64"/>
  <c r="AN57" i="73" s="1"/>
  <c r="CC14" i="64"/>
  <c r="AN54" i="73" s="1"/>
  <c r="CC16" i="64"/>
  <c r="AN56" i="73" s="1"/>
  <c r="AW22" i="73" a="1"/>
  <c r="AV22" i="73" a="1"/>
  <c r="L8" i="45"/>
  <c r="K8" i="45"/>
  <c r="BP14" i="64"/>
  <c r="BP15" i="64"/>
  <c r="BP16" i="64"/>
  <c r="BP17" i="64"/>
  <c r="M22" i="66"/>
  <c r="M23" i="66"/>
  <c r="M24" i="66"/>
  <c r="M25" i="66"/>
  <c r="BA17" i="66"/>
  <c r="P81" i="73" s="1"/>
  <c r="BA14" i="66"/>
  <c r="P78" i="73" s="1"/>
  <c r="BA15" i="66"/>
  <c r="P79" i="73" s="1"/>
  <c r="BA16" i="66"/>
  <c r="P80" i="73" s="1"/>
  <c r="X44" i="33"/>
  <c r="W44" i="33"/>
  <c r="BP14" i="63" a="1"/>
  <c r="BQ14" i="63" a="1"/>
  <c r="BO14" i="63" a="1"/>
  <c r="BN14" i="63" a="1"/>
  <c r="CA17" i="65"/>
  <c r="AL65" i="73" s="1"/>
  <c r="CA15" i="65"/>
  <c r="AL63" i="73" s="1"/>
  <c r="CA14" i="65"/>
  <c r="AL62" i="73" s="1"/>
  <c r="CA16" i="65"/>
  <c r="AL64" i="73" s="1"/>
  <c r="T43" i="33"/>
  <c r="N90" i="22" s="1"/>
  <c r="J92" i="22" s="1"/>
  <c r="U43" i="33"/>
  <c r="L13" i="45"/>
  <c r="K13" i="45"/>
  <c r="E79" i="73"/>
  <c r="AD4" i="33"/>
  <c r="L23" i="66"/>
  <c r="AZ15" i="65"/>
  <c r="O63" i="73" s="1"/>
  <c r="AZ14" i="65"/>
  <c r="AZ17" i="65"/>
  <c r="O65" i="73" s="1"/>
  <c r="AZ16" i="65"/>
  <c r="O64" i="73" s="1"/>
  <c r="BB17" i="64"/>
  <c r="Q57" i="73" s="1"/>
  <c r="BB14" i="64"/>
  <c r="Q54" i="73" s="1"/>
  <c r="BB16" i="64"/>
  <c r="Q56" i="73" s="1"/>
  <c r="BB15" i="64"/>
  <c r="Q55" i="73" s="1"/>
  <c r="BS13" i="67" l="1" a="1"/>
  <c r="Z92" i="73"/>
  <c r="T95" i="73"/>
  <c r="T94" i="73"/>
  <c r="T96" i="73"/>
  <c r="BE13" i="67" a="1"/>
  <c r="T97" i="73"/>
  <c r="BA22" i="68"/>
  <c r="BE21" i="62" a="1"/>
  <c r="BF21" i="62" s="1"/>
  <c r="BB22" i="68"/>
  <c r="BB22" i="61"/>
  <c r="AZ25" i="68"/>
  <c r="AZ25" i="72"/>
  <c r="BA25" i="68"/>
  <c r="BA23" i="61"/>
  <c r="BA22" i="61"/>
  <c r="T16" i="73"/>
  <c r="BC22" i="68"/>
  <c r="Z94" i="73" a="1"/>
  <c r="Z95" i="73" s="1"/>
  <c r="AE95" i="73" s="1"/>
  <c r="BA24" i="68"/>
  <c r="AA94" i="73" a="1"/>
  <c r="AA95" i="73" s="1"/>
  <c r="AZ24" i="61"/>
  <c r="AZ22" i="61"/>
  <c r="AC14" i="73" a="1"/>
  <c r="AC14" i="73" s="1"/>
  <c r="AZ24" i="72"/>
  <c r="AZ23" i="61"/>
  <c r="AZ23" i="72"/>
  <c r="AC94" i="73" a="1"/>
  <c r="AC94" i="73" s="1"/>
  <c r="AB94" i="73" a="1"/>
  <c r="AB95" i="73" s="1"/>
  <c r="T73" i="73"/>
  <c r="BC23" i="61"/>
  <c r="BB25" i="68"/>
  <c r="BB24" i="68"/>
  <c r="BA25" i="61"/>
  <c r="AZ24" i="68"/>
  <c r="BC23" i="68"/>
  <c r="BC25" i="68"/>
  <c r="BC23" i="72"/>
  <c r="AZ24" i="70"/>
  <c r="AZ23" i="70"/>
  <c r="AZ25" i="70"/>
  <c r="AZ23" i="68"/>
  <c r="BB25" i="61"/>
  <c r="BC22" i="72"/>
  <c r="T81" i="73"/>
  <c r="BC24" i="61"/>
  <c r="BC22" i="61"/>
  <c r="BC25" i="72"/>
  <c r="BA24" i="72"/>
  <c r="BC25" i="70"/>
  <c r="BC23" i="70"/>
  <c r="BC22" i="70"/>
  <c r="BC24" i="70"/>
  <c r="BA25" i="72"/>
  <c r="BE21" i="67" a="1"/>
  <c r="BA22" i="72"/>
  <c r="BB23" i="70"/>
  <c r="BB24" i="70"/>
  <c r="BB25" i="70"/>
  <c r="BB22" i="70"/>
  <c r="BB25" i="72"/>
  <c r="BA25" i="70"/>
  <c r="BA22" i="70"/>
  <c r="BA24" i="70"/>
  <c r="BA23" i="70"/>
  <c r="BB24" i="72"/>
  <c r="BB23" i="72"/>
  <c r="AP16" i="73"/>
  <c r="BE21" i="65" a="1"/>
  <c r="BB24" i="61"/>
  <c r="Z14" i="73" a="1"/>
  <c r="Z16" i="73" s="1"/>
  <c r="CA17" i="71"/>
  <c r="AL49" i="73" s="1"/>
  <c r="CA16" i="71"/>
  <c r="AL48" i="73" s="1"/>
  <c r="CA14" i="71"/>
  <c r="AL46" i="73" s="1"/>
  <c r="CA15" i="71"/>
  <c r="AL47" i="73" s="1"/>
  <c r="AV47" i="73"/>
  <c r="AV48" i="73"/>
  <c r="AV46" i="73"/>
  <c r="AV49" i="73"/>
  <c r="AZ24" i="71"/>
  <c r="AZ22" i="71"/>
  <c r="AZ25" i="71"/>
  <c r="AZ23" i="71"/>
  <c r="H22" i="71" a="1"/>
  <c r="J45" i="73"/>
  <c r="CB15" i="71"/>
  <c r="AM47" i="73" s="1"/>
  <c r="CB17" i="71"/>
  <c r="AM49" i="73" s="1"/>
  <c r="CB14" i="71"/>
  <c r="AM46" i="73" s="1"/>
  <c r="CB16" i="71"/>
  <c r="AM48" i="73" s="1"/>
  <c r="AW47" i="73"/>
  <c r="AW48" i="73"/>
  <c r="AW46" i="73"/>
  <c r="AW49" i="73"/>
  <c r="E9" i="45"/>
  <c r="H9" i="45" s="1"/>
  <c r="BA23" i="71"/>
  <c r="BA24" i="71"/>
  <c r="BA25" i="71"/>
  <c r="BA22" i="71"/>
  <c r="AB14" i="73" a="1"/>
  <c r="AB15" i="73" s="1"/>
  <c r="AA14" i="73" a="1"/>
  <c r="AA17" i="73" s="1"/>
  <c r="BZ17" i="71"/>
  <c r="AK49" i="73" s="1"/>
  <c r="AP49" i="73" s="1"/>
  <c r="BZ15" i="71"/>
  <c r="AK47" i="73" s="1"/>
  <c r="AP47" i="73" s="1"/>
  <c r="BZ16" i="71"/>
  <c r="AK48" i="73" s="1"/>
  <c r="AP48" i="73" s="1"/>
  <c r="BZ14" i="71"/>
  <c r="F48" i="73"/>
  <c r="BB23" i="71"/>
  <c r="BB25" i="71"/>
  <c r="BB22" i="71"/>
  <c r="BB24" i="71"/>
  <c r="R44" i="33"/>
  <c r="Q44" i="33"/>
  <c r="BO14" i="71"/>
  <c r="BO15" i="71"/>
  <c r="BO17" i="71"/>
  <c r="BO16" i="71"/>
  <c r="R45" i="33"/>
  <c r="Q45" i="33"/>
  <c r="AZ15" i="71"/>
  <c r="O47" i="73" s="1"/>
  <c r="AZ14" i="71"/>
  <c r="AZ16" i="71"/>
  <c r="O48" i="73" s="1"/>
  <c r="AZ17" i="71"/>
  <c r="O49" i="73" s="1"/>
  <c r="R43" i="33"/>
  <c r="Q43" i="33"/>
  <c r="N88" i="22" s="1"/>
  <c r="J80" i="22" s="1"/>
  <c r="BQ17" i="71"/>
  <c r="BQ16" i="71"/>
  <c r="BQ14" i="71"/>
  <c r="BQ15" i="71"/>
  <c r="BC16" i="71"/>
  <c r="R48" i="73" s="1"/>
  <c r="BC14" i="71"/>
  <c r="R46" i="73" s="1"/>
  <c r="BC15" i="71"/>
  <c r="R47" i="73" s="1"/>
  <c r="BC17" i="71"/>
  <c r="R49" i="73" s="1"/>
  <c r="BN15" i="71"/>
  <c r="BN17" i="71"/>
  <c r="BN14" i="71"/>
  <c r="BN16" i="71"/>
  <c r="Q42" i="33"/>
  <c r="N87" i="22" s="1"/>
  <c r="I79" i="22" s="1"/>
  <c r="R42" i="33"/>
  <c r="BB14" i="71"/>
  <c r="Q46" i="73" s="1"/>
  <c r="BB16" i="71"/>
  <c r="Q48" i="73" s="1"/>
  <c r="BB15" i="71"/>
  <c r="Q47" i="73" s="1"/>
  <c r="BB17" i="71"/>
  <c r="Q49" i="73" s="1"/>
  <c r="B46" i="73" a="1"/>
  <c r="CC17" i="71"/>
  <c r="AN49" i="73" s="1"/>
  <c r="CC14" i="71"/>
  <c r="AN46" i="73" s="1"/>
  <c r="CC16" i="71"/>
  <c r="AN48" i="73" s="1"/>
  <c r="CC15" i="71"/>
  <c r="AN47" i="73" s="1"/>
  <c r="BP16" i="71"/>
  <c r="BP17" i="71"/>
  <c r="BP14" i="71"/>
  <c r="BP15" i="71"/>
  <c r="BC22" i="71"/>
  <c r="BC23" i="71"/>
  <c r="BC25" i="71"/>
  <c r="BC24" i="71"/>
  <c r="BA17" i="71"/>
  <c r="P49" i="73" s="1"/>
  <c r="BA14" i="71"/>
  <c r="P46" i="73" s="1"/>
  <c r="BA16" i="71"/>
  <c r="P48" i="73" s="1"/>
  <c r="BA15" i="71"/>
  <c r="P47" i="73" s="1"/>
  <c r="AP57" i="73"/>
  <c r="AP56" i="73"/>
  <c r="BA25" i="63"/>
  <c r="BA24" i="63"/>
  <c r="BA22" i="63"/>
  <c r="BA23" i="63"/>
  <c r="BC24" i="63"/>
  <c r="BC23" i="63"/>
  <c r="BC22" i="63"/>
  <c r="BC25" i="63"/>
  <c r="T17" i="73"/>
  <c r="BB24" i="63"/>
  <c r="BB23" i="63"/>
  <c r="BB25" i="63"/>
  <c r="BB22" i="63"/>
  <c r="AZ24" i="63"/>
  <c r="AZ22" i="63"/>
  <c r="AZ23" i="63"/>
  <c r="AZ25" i="63"/>
  <c r="BE21" i="64" a="1"/>
  <c r="B56" i="73"/>
  <c r="B57" i="73"/>
  <c r="B55" i="73"/>
  <c r="B63" i="73"/>
  <c r="AV6" i="73"/>
  <c r="AV7" i="73"/>
  <c r="AV8" i="73"/>
  <c r="AV9" i="73"/>
  <c r="B44" i="33"/>
  <c r="C44" i="33"/>
  <c r="CB16" i="61"/>
  <c r="AM8" i="73" s="1"/>
  <c r="CB17" i="61"/>
  <c r="AM9" i="73" s="1"/>
  <c r="CB14" i="61"/>
  <c r="AM6" i="73" s="1"/>
  <c r="CB15" i="61"/>
  <c r="AM7" i="73" s="1"/>
  <c r="AW7" i="73"/>
  <c r="AW6" i="73"/>
  <c r="AW8" i="73"/>
  <c r="AW9" i="73"/>
  <c r="BA14" i="61"/>
  <c r="P6" i="73" s="1"/>
  <c r="BA16" i="61"/>
  <c r="P8" i="73" s="1"/>
  <c r="BA15" i="61"/>
  <c r="P7" i="73" s="1"/>
  <c r="BA17" i="61"/>
  <c r="P9" i="73" s="1"/>
  <c r="B45" i="33"/>
  <c r="C45" i="33"/>
  <c r="CC14" i="61"/>
  <c r="AN6" i="73" s="1"/>
  <c r="CC16" i="61"/>
  <c r="AN8" i="73" s="1"/>
  <c r="CC15" i="61"/>
  <c r="AN7" i="73" s="1"/>
  <c r="CC17" i="61"/>
  <c r="AN9" i="73" s="1"/>
  <c r="C42" i="33"/>
  <c r="B42" i="33"/>
  <c r="N77" i="22" s="1"/>
  <c r="I83" i="22" s="1"/>
  <c r="B43" i="33"/>
  <c r="N78" i="22" s="1"/>
  <c r="I77" i="22" s="1"/>
  <c r="C43" i="33"/>
  <c r="AZ16" i="61"/>
  <c r="O8" i="73" s="1"/>
  <c r="AZ17" i="61"/>
  <c r="O9" i="73" s="1"/>
  <c r="AZ15" i="61"/>
  <c r="O7" i="73" s="1"/>
  <c r="AZ14" i="61"/>
  <c r="CA15" i="61"/>
  <c r="AL7" i="73" s="1"/>
  <c r="CA16" i="61"/>
  <c r="AL8" i="73" s="1"/>
  <c r="CA17" i="61"/>
  <c r="AL9" i="73" s="1"/>
  <c r="CA14" i="61"/>
  <c r="AL6" i="73" s="1"/>
  <c r="BC17" i="61"/>
  <c r="R9" i="73" s="1"/>
  <c r="BC16" i="61"/>
  <c r="R8" i="73" s="1"/>
  <c r="BC15" i="61"/>
  <c r="R7" i="73" s="1"/>
  <c r="BC14" i="61"/>
  <c r="R6" i="73" s="1"/>
  <c r="B6" i="73" a="1"/>
  <c r="BZ14" i="61"/>
  <c r="BZ17" i="61"/>
  <c r="AK9" i="73" s="1"/>
  <c r="AP9" i="73" s="1"/>
  <c r="BZ15" i="61"/>
  <c r="AK7" i="73" s="1"/>
  <c r="AP7" i="73" s="1"/>
  <c r="BZ16" i="61"/>
  <c r="AK8" i="73" s="1"/>
  <c r="AP8" i="73" s="1"/>
  <c r="BB16" i="61"/>
  <c r="Q8" i="73" s="1"/>
  <c r="BB14" i="61"/>
  <c r="Q6" i="73" s="1"/>
  <c r="BB15" i="61"/>
  <c r="Q7" i="73" s="1"/>
  <c r="BB17" i="61"/>
  <c r="Q9" i="73" s="1"/>
  <c r="BP16" i="61"/>
  <c r="BP17" i="61"/>
  <c r="BP14" i="61"/>
  <c r="BP15" i="61"/>
  <c r="E4" i="45"/>
  <c r="H4" i="45" s="1"/>
  <c r="BN17" i="61"/>
  <c r="BN14" i="61"/>
  <c r="BN15" i="61"/>
  <c r="BN16" i="61"/>
  <c r="J5" i="73"/>
  <c r="H22" i="61" a="1"/>
  <c r="F8" i="73"/>
  <c r="BQ17" i="61"/>
  <c r="BQ14" i="61"/>
  <c r="BQ15" i="61"/>
  <c r="BQ16" i="61"/>
  <c r="BO14" i="61"/>
  <c r="BO16" i="61"/>
  <c r="BO17" i="61"/>
  <c r="BO15" i="61"/>
  <c r="B15" i="73"/>
  <c r="BB17" i="70"/>
  <c r="Q33" i="73" s="1"/>
  <c r="BB14" i="70"/>
  <c r="Q30" i="73" s="1"/>
  <c r="BB16" i="70"/>
  <c r="Q32" i="73" s="1"/>
  <c r="BB15" i="70"/>
  <c r="Q31" i="73" s="1"/>
  <c r="B30" i="73" a="1"/>
  <c r="BZ15" i="70"/>
  <c r="AK31" i="73" s="1"/>
  <c r="AP31" i="73" s="1"/>
  <c r="BZ17" i="70"/>
  <c r="AK33" i="73" s="1"/>
  <c r="AP33" i="73" s="1"/>
  <c r="BZ14" i="70"/>
  <c r="BZ16" i="70"/>
  <c r="AK32" i="73" s="1"/>
  <c r="AP32" i="73" s="1"/>
  <c r="B14" i="73"/>
  <c r="AZ17" i="70"/>
  <c r="O33" i="73" s="1"/>
  <c r="AZ16" i="70"/>
  <c r="O32" i="73" s="1"/>
  <c r="AZ15" i="70"/>
  <c r="O31" i="73" s="1"/>
  <c r="AZ14" i="70"/>
  <c r="L45" i="33"/>
  <c r="K45" i="33"/>
  <c r="CB14" i="70"/>
  <c r="AM30" i="73" s="1"/>
  <c r="CB15" i="70"/>
  <c r="AM31" i="73" s="1"/>
  <c r="CB16" i="70"/>
  <c r="AM32" i="73" s="1"/>
  <c r="CB17" i="70"/>
  <c r="AM33" i="73" s="1"/>
  <c r="K42" i="33"/>
  <c r="N83" i="22" s="1"/>
  <c r="I85" i="22" s="1"/>
  <c r="L42" i="33"/>
  <c r="BC14" i="70"/>
  <c r="R30" i="73" s="1"/>
  <c r="BC16" i="70"/>
  <c r="R32" i="73" s="1"/>
  <c r="BC15" i="70"/>
  <c r="R31" i="73" s="1"/>
  <c r="BC17" i="70"/>
  <c r="R33" i="73" s="1"/>
  <c r="CC17" i="70"/>
  <c r="AN33" i="73" s="1"/>
  <c r="CC14" i="70"/>
  <c r="AN30" i="73" s="1"/>
  <c r="CC15" i="70"/>
  <c r="AN31" i="73" s="1"/>
  <c r="CC16" i="70"/>
  <c r="AN32" i="73" s="1"/>
  <c r="BA16" i="70"/>
  <c r="P32" i="73" s="1"/>
  <c r="BA17" i="70"/>
  <c r="P33" i="73" s="1"/>
  <c r="BA14" i="70"/>
  <c r="P30" i="73" s="1"/>
  <c r="BA15" i="70"/>
  <c r="P31" i="73" s="1"/>
  <c r="CA14" i="70"/>
  <c r="AL30" i="73" s="1"/>
  <c r="CA17" i="70"/>
  <c r="AL33" i="73" s="1"/>
  <c r="CA16" i="70"/>
  <c r="AL32" i="73" s="1"/>
  <c r="CA15" i="70"/>
  <c r="AL31" i="73" s="1"/>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T15" i="73"/>
  <c r="B17" i="73"/>
  <c r="B86" i="73" a="1"/>
  <c r="B88" i="73" s="1"/>
  <c r="B64" i="73"/>
  <c r="AK14" i="73"/>
  <c r="AP14" i="73" s="1"/>
  <c r="CE13" i="62" a="1"/>
  <c r="AK12" i="73"/>
  <c r="I22" i="62"/>
  <c r="K14" i="73" s="1"/>
  <c r="H25" i="62"/>
  <c r="J17" i="73" s="1"/>
  <c r="H24" i="62"/>
  <c r="J16" i="73" s="1"/>
  <c r="I25" i="62"/>
  <c r="K17" i="73" s="1"/>
  <c r="J24" i="62"/>
  <c r="L16" i="73" s="1"/>
  <c r="H23" i="62"/>
  <c r="J15" i="73" s="1"/>
  <c r="I24" i="62"/>
  <c r="K16" i="73" s="1"/>
  <c r="K25" i="62"/>
  <c r="M17" i="73" s="1"/>
  <c r="K24" i="62"/>
  <c r="M16" i="73" s="1"/>
  <c r="J23" i="62"/>
  <c r="L15" i="73" s="1"/>
  <c r="I23" i="62"/>
  <c r="K15" i="73" s="1"/>
  <c r="H22" i="62"/>
  <c r="J14" i="73" s="1"/>
  <c r="K23" i="62"/>
  <c r="M15" i="73" s="1"/>
  <c r="K22" i="62"/>
  <c r="M14" i="73" s="1"/>
  <c r="J25" i="62"/>
  <c r="L17" i="73" s="1"/>
  <c r="J22" i="62"/>
  <c r="L14" i="73" s="1"/>
  <c r="O14" i="73"/>
  <c r="T14" i="73" s="1"/>
  <c r="BE13" i="62" a="1"/>
  <c r="Z12" i="73"/>
  <c r="BS13" i="62" a="1"/>
  <c r="AR50" i="33"/>
  <c r="D110" i="48"/>
  <c r="I50" i="33"/>
  <c r="E94" i="48"/>
  <c r="AD50" i="33"/>
  <c r="K25" i="69"/>
  <c r="M73" i="73" s="1"/>
  <c r="J22" i="69"/>
  <c r="L70" i="73" s="1"/>
  <c r="K24" i="69"/>
  <c r="M72" i="73" s="1"/>
  <c r="I25" i="69"/>
  <c r="K73" i="73" s="1"/>
  <c r="K23" i="69"/>
  <c r="M71" i="73" s="1"/>
  <c r="I24" i="69"/>
  <c r="K72" i="73" s="1"/>
  <c r="H25" i="69"/>
  <c r="J73" i="73" s="1"/>
  <c r="K22" i="69"/>
  <c r="M70" i="73" s="1"/>
  <c r="I23" i="69"/>
  <c r="K71" i="73" s="1"/>
  <c r="H24" i="69"/>
  <c r="J72" i="73" s="1"/>
  <c r="I22" i="69"/>
  <c r="K70" i="73" s="1"/>
  <c r="H23" i="69"/>
  <c r="J71" i="73" s="1"/>
  <c r="J25" i="69"/>
  <c r="L73" i="73" s="1"/>
  <c r="J23" i="69"/>
  <c r="L71" i="73" s="1"/>
  <c r="H22" i="69"/>
  <c r="J70" i="73" s="1"/>
  <c r="J24" i="69"/>
  <c r="L72" i="73" s="1"/>
  <c r="B72" i="73"/>
  <c r="B70" i="73"/>
  <c r="B73" i="73"/>
  <c r="B71" i="73"/>
  <c r="O70" i="73"/>
  <c r="T70" i="73" s="1"/>
  <c r="BE13" i="69" a="1"/>
  <c r="AC70" i="73" a="1"/>
  <c r="E50" i="33"/>
  <c r="T71" i="73"/>
  <c r="AB70" i="73" a="1"/>
  <c r="AA70" i="73" a="1"/>
  <c r="BS13" i="69" a="1"/>
  <c r="Z68" i="73"/>
  <c r="Z70" i="73" a="1"/>
  <c r="T72" i="73"/>
  <c r="AK68" i="73"/>
  <c r="AK70" i="73"/>
  <c r="AP70" i="73" s="1"/>
  <c r="CE13" i="69" a="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AG44" i="33"/>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B95" i="73"/>
  <c r="E14" i="45"/>
  <c r="H14" i="45" s="1"/>
  <c r="CC17" i="68"/>
  <c r="AN89" i="73" s="1"/>
  <c r="CC15" i="68"/>
  <c r="AN87" i="73" s="1"/>
  <c r="CC16" i="68"/>
  <c r="AN88" i="73" s="1"/>
  <c r="CC14" i="68"/>
  <c r="AN86" i="73" s="1"/>
  <c r="AV86" i="73"/>
  <c r="AV87" i="73"/>
  <c r="AV88" i="73"/>
  <c r="AV89" i="73"/>
  <c r="AF45" i="33"/>
  <c r="AG45" i="33"/>
  <c r="AF43" i="33"/>
  <c r="N98" i="22" s="1"/>
  <c r="I87" i="22" s="1"/>
  <c r="AG43" i="33"/>
  <c r="AF42" i="33"/>
  <c r="N97" i="22" s="1"/>
  <c r="I91" i="22" s="1"/>
  <c r="AG42" i="33"/>
  <c r="CB14" i="68"/>
  <c r="AM86" i="73" s="1"/>
  <c r="CB17" i="68"/>
  <c r="AM89" i="73" s="1"/>
  <c r="CB16" i="68"/>
  <c r="AM88" i="73" s="1"/>
  <c r="CB15" i="68"/>
  <c r="AM87" i="73" s="1"/>
  <c r="BN15" i="68"/>
  <c r="BN16" i="68"/>
  <c r="BN17" i="68"/>
  <c r="BN14" i="68"/>
  <c r="B96" i="73"/>
  <c r="T55" i="73"/>
  <c r="B97" i="73"/>
  <c r="T65" i="73"/>
  <c r="T63" i="73"/>
  <c r="T64" i="73"/>
  <c r="F40" i="73"/>
  <c r="F80" i="73"/>
  <c r="B38" i="73" a="1"/>
  <c r="B39" i="73" s="1"/>
  <c r="CH13" i="67"/>
  <c r="AT93" i="73" s="1"/>
  <c r="CE13" i="67"/>
  <c r="CG13" i="67"/>
  <c r="AS93" i="73" s="1"/>
  <c r="CF13" i="67"/>
  <c r="AR93" i="73" s="1"/>
  <c r="AB78" i="73" a="1"/>
  <c r="AB81" i="73" s="1"/>
  <c r="AI50" i="33"/>
  <c r="D104" i="48"/>
  <c r="O50" i="33"/>
  <c r="BG13" i="67"/>
  <c r="W93" i="73" s="1"/>
  <c r="BF13" i="67"/>
  <c r="V93" i="73" s="1"/>
  <c r="BE13" i="67"/>
  <c r="BH13" i="67"/>
  <c r="X93" i="73" s="1"/>
  <c r="BT13" i="67"/>
  <c r="BU13" i="67"/>
  <c r="BV13" i="67"/>
  <c r="BS13" i="67"/>
  <c r="I25" i="67"/>
  <c r="K97" i="73" s="1"/>
  <c r="K25" i="67"/>
  <c r="M97" i="73" s="1"/>
  <c r="H22" i="67"/>
  <c r="J94" i="73" s="1"/>
  <c r="I24" i="67"/>
  <c r="K96" i="73" s="1"/>
  <c r="K24" i="67"/>
  <c r="M96" i="73" s="1"/>
  <c r="H25" i="67"/>
  <c r="J97" i="73" s="1"/>
  <c r="J25" i="67"/>
  <c r="L97" i="73" s="1"/>
  <c r="J24" i="67"/>
  <c r="L96" i="73" s="1"/>
  <c r="J22" i="67"/>
  <c r="L94" i="73" s="1"/>
  <c r="I23" i="67"/>
  <c r="K95" i="73" s="1"/>
  <c r="K23" i="67"/>
  <c r="M95" i="73" s="1"/>
  <c r="J23" i="67"/>
  <c r="L95" i="73" s="1"/>
  <c r="I22" i="67"/>
  <c r="K94" i="73" s="1"/>
  <c r="K22" i="67"/>
  <c r="M94" i="73" s="1"/>
  <c r="H24" i="67"/>
  <c r="J96" i="73" s="1"/>
  <c r="H23" i="67"/>
  <c r="J95" i="73" s="1"/>
  <c r="AK76" i="73"/>
  <c r="AK78" i="73"/>
  <c r="AP78" i="73" s="1"/>
  <c r="CE13" i="66" a="1"/>
  <c r="J21" i="73"/>
  <c r="H22" i="63" a="1"/>
  <c r="BN17" i="63"/>
  <c r="BN16" i="63"/>
  <c r="BN15" i="63"/>
  <c r="BN14" i="63"/>
  <c r="CB16" i="72"/>
  <c r="AM40" i="73" s="1"/>
  <c r="CB14" i="72"/>
  <c r="AM38" i="73" s="1"/>
  <c r="CB17" i="72"/>
  <c r="AM41" i="73" s="1"/>
  <c r="CB15" i="72"/>
  <c r="AM39" i="73" s="1"/>
  <c r="N42" i="33"/>
  <c r="N85" i="22" s="1"/>
  <c r="I78" i="22" s="1"/>
  <c r="O42" i="33"/>
  <c r="CC14" i="63"/>
  <c r="AN22" i="73" s="1"/>
  <c r="CC16" i="63"/>
  <c r="AN24" i="73" s="1"/>
  <c r="CC15" i="63"/>
  <c r="AN23" i="73" s="1"/>
  <c r="CC17" i="63"/>
  <c r="AN25" i="73" s="1"/>
  <c r="AA78" i="73" a="1"/>
  <c r="AV79" i="73"/>
  <c r="AV80" i="73"/>
  <c r="AV78" i="73"/>
  <c r="AV81" i="73"/>
  <c r="Z76" i="73"/>
  <c r="BS13" i="66" a="1"/>
  <c r="Z78" i="73" a="1"/>
  <c r="J77" i="73"/>
  <c r="H22" i="66" a="1"/>
  <c r="BO14" i="63"/>
  <c r="BO17" i="63"/>
  <c r="BO15" i="63"/>
  <c r="BO16" i="63"/>
  <c r="AB54" i="73" a="1"/>
  <c r="AA54" i="73" a="1"/>
  <c r="CA17" i="72"/>
  <c r="AL41" i="73" s="1"/>
  <c r="CA14" i="72"/>
  <c r="AL38" i="73" s="1"/>
  <c r="CA15" i="72"/>
  <c r="AL39" i="73" s="1"/>
  <c r="CA16" i="72"/>
  <c r="AL40" i="73" s="1"/>
  <c r="CA16" i="63"/>
  <c r="AL24" i="73" s="1"/>
  <c r="CA17" i="63"/>
  <c r="AL25" i="73" s="1"/>
  <c r="CA14" i="63"/>
  <c r="AL22" i="73" s="1"/>
  <c r="CA15" i="63"/>
  <c r="AL23" i="73" s="1"/>
  <c r="BS13" i="64" a="1"/>
  <c r="Z52" i="73"/>
  <c r="Z54" i="73" a="1"/>
  <c r="AA62" i="73" a="1"/>
  <c r="F24" i="73"/>
  <c r="BC16" i="72"/>
  <c r="R40" i="73" s="1"/>
  <c r="BC15" i="72"/>
  <c r="R39" i="73" s="1"/>
  <c r="BC17" i="72"/>
  <c r="R41" i="73" s="1"/>
  <c r="BC14" i="72"/>
  <c r="R38" i="73" s="1"/>
  <c r="AC62" i="73" a="1"/>
  <c r="AW78" i="73"/>
  <c r="AW79" i="73"/>
  <c r="AW80" i="73"/>
  <c r="AW81" i="73"/>
  <c r="AD45" i="33"/>
  <c r="AC45" i="33"/>
  <c r="Z60" i="73"/>
  <c r="BS13" i="65" a="1"/>
  <c r="Z62" i="73" a="1"/>
  <c r="BZ15" i="72"/>
  <c r="AK39" i="73" s="1"/>
  <c r="AP39" i="73" s="1"/>
  <c r="BZ16" i="72"/>
  <c r="AK40" i="73" s="1"/>
  <c r="BZ14" i="72"/>
  <c r="BZ17" i="72"/>
  <c r="AK41" i="73" s="1"/>
  <c r="BE13" i="66" a="1"/>
  <c r="O78" i="73"/>
  <c r="T78" i="73" s="1"/>
  <c r="AD42" i="33"/>
  <c r="AC42" i="33"/>
  <c r="N95" i="22" s="1"/>
  <c r="I90" i="22" s="1"/>
  <c r="BQ15" i="63"/>
  <c r="BQ16" i="63"/>
  <c r="BQ17" i="63"/>
  <c r="BQ14" i="63"/>
  <c r="CC17" i="72"/>
  <c r="AN41" i="73" s="1"/>
  <c r="CC14" i="72"/>
  <c r="AN38" i="73" s="1"/>
  <c r="CC16" i="72"/>
  <c r="AN40" i="73" s="1"/>
  <c r="CC15" i="72"/>
  <c r="AN39" i="73" s="1"/>
  <c r="O44" i="33"/>
  <c r="N44" i="33"/>
  <c r="CB14" i="63"/>
  <c r="AM22" i="73" s="1"/>
  <c r="CB17" i="63"/>
  <c r="AM25" i="73" s="1"/>
  <c r="CB15" i="63"/>
  <c r="AM23" i="73" s="1"/>
  <c r="CB16" i="63"/>
  <c r="AM24" i="73" s="1"/>
  <c r="E6" i="45"/>
  <c r="H6" i="45" s="1"/>
  <c r="AZ14" i="72"/>
  <c r="AZ15" i="72"/>
  <c r="O39" i="73" s="1"/>
  <c r="AZ17" i="72"/>
  <c r="O41" i="73" s="1"/>
  <c r="AZ16" i="72"/>
  <c r="O40" i="73" s="1"/>
  <c r="BC14" i="63"/>
  <c r="R22" i="73" s="1"/>
  <c r="BC17" i="63"/>
  <c r="R25" i="73" s="1"/>
  <c r="BC16" i="63"/>
  <c r="R24" i="73" s="1"/>
  <c r="BC15" i="63"/>
  <c r="R23" i="73" s="1"/>
  <c r="AC78" i="73" a="1"/>
  <c r="AB62" i="73" a="1"/>
  <c r="AK52" i="73"/>
  <c r="AK54" i="73"/>
  <c r="AP54" i="73" s="1"/>
  <c r="CE13" i="64" a="1"/>
  <c r="BP17" i="63"/>
  <c r="BP14" i="63"/>
  <c r="BP16" i="63"/>
  <c r="BP15" i="63"/>
  <c r="H43" i="33"/>
  <c r="N82" i="22" s="1"/>
  <c r="J79" i="22" s="1"/>
  <c r="I43" i="33"/>
  <c r="BB14" i="72"/>
  <c r="Q38" i="73" s="1"/>
  <c r="BB16" i="72"/>
  <c r="Q40" i="73" s="1"/>
  <c r="BB15" i="72"/>
  <c r="Q39" i="73" s="1"/>
  <c r="BB17" i="72"/>
  <c r="Q41" i="73" s="1"/>
  <c r="BA17" i="63"/>
  <c r="P25" i="73" s="1"/>
  <c r="BA15" i="63"/>
  <c r="P23" i="73" s="1"/>
  <c r="BA16" i="63"/>
  <c r="P24" i="73" s="1"/>
  <c r="BA14" i="63"/>
  <c r="P22" i="73" s="1"/>
  <c r="AM50" i="33"/>
  <c r="E112" i="48"/>
  <c r="BP15" i="72"/>
  <c r="BP14" i="72"/>
  <c r="BP16" i="72"/>
  <c r="BP17" i="72"/>
  <c r="T56" i="73"/>
  <c r="AK62" i="73"/>
  <c r="AP62" i="73" s="1"/>
  <c r="CE13" i="65" a="1"/>
  <c r="AK60" i="73"/>
  <c r="BZ16" i="63"/>
  <c r="AK24" i="73" s="1"/>
  <c r="BZ14" i="63"/>
  <c r="BZ17" i="63"/>
  <c r="AK25" i="73" s="1"/>
  <c r="AP25" i="73" s="1"/>
  <c r="BZ15" i="63"/>
  <c r="AK23" i="73" s="1"/>
  <c r="AP23" i="73" s="1"/>
  <c r="O62" i="73"/>
  <c r="T62" i="73" s="1"/>
  <c r="BE13" i="65" a="1"/>
  <c r="AP50" i="33"/>
  <c r="BN17" i="72"/>
  <c r="BN16" i="72"/>
  <c r="BN15" i="72"/>
  <c r="BN14" i="72"/>
  <c r="T57" i="73"/>
  <c r="BQ16" i="72"/>
  <c r="BQ15" i="72"/>
  <c r="BQ17" i="72"/>
  <c r="BQ14" i="72"/>
  <c r="W50" i="33"/>
  <c r="D106" i="48"/>
  <c r="T79" i="73"/>
  <c r="AC54" i="73" a="1"/>
  <c r="J37" i="73"/>
  <c r="H22" i="72" a="1"/>
  <c r="BA15" i="72"/>
  <c r="P39" i="73" s="1"/>
  <c r="BA16" i="72"/>
  <c r="P40" i="73" s="1"/>
  <c r="BA14" i="72"/>
  <c r="P38" i="73" s="1"/>
  <c r="BA17" i="72"/>
  <c r="P41" i="73" s="1"/>
  <c r="BB17" i="63"/>
  <c r="Q25" i="73" s="1"/>
  <c r="BB14" i="63"/>
  <c r="Q22" i="73" s="1"/>
  <c r="BB16" i="63"/>
  <c r="Q24" i="73" s="1"/>
  <c r="BB15" i="63"/>
  <c r="Q23" i="73" s="1"/>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T54" i="73" s="1"/>
  <c r="AW38" i="73"/>
  <c r="AW40" i="73"/>
  <c r="AW41" i="73"/>
  <c r="AW39" i="73"/>
  <c r="BO15" i="72"/>
  <c r="BO16" i="72"/>
  <c r="BO17" i="72"/>
  <c r="BO14" i="72"/>
  <c r="T80" i="73"/>
  <c r="D109" i="48"/>
  <c r="Q50" i="33"/>
  <c r="E8" i="45"/>
  <c r="H8" i="45" s="1"/>
  <c r="H44" i="33"/>
  <c r="I44" i="33"/>
  <c r="E13" i="45"/>
  <c r="H13" i="45" s="1"/>
  <c r="AZ16" i="63"/>
  <c r="O24" i="73" s="1"/>
  <c r="AZ15" i="63"/>
  <c r="O23" i="73" s="1"/>
  <c r="AZ17" i="63"/>
  <c r="O25" i="73" s="1"/>
  <c r="AZ14" i="63"/>
  <c r="H45" i="33"/>
  <c r="I45" i="33"/>
  <c r="B22" i="73" a="1"/>
  <c r="O45" i="33"/>
  <c r="N45" i="33"/>
  <c r="J25" i="65"/>
  <c r="L65" i="73" s="1"/>
  <c r="J24" i="65"/>
  <c r="L64" i="73" s="1"/>
  <c r="J23" i="65"/>
  <c r="L63" i="73" s="1"/>
  <c r="J22" i="65"/>
  <c r="L62" i="73" s="1"/>
  <c r="H25" i="65"/>
  <c r="J65" i="73" s="1"/>
  <c r="H24" i="65"/>
  <c r="J64" i="73" s="1"/>
  <c r="H23" i="65"/>
  <c r="J63" i="73" s="1"/>
  <c r="H22" i="65"/>
  <c r="J62" i="73" s="1"/>
  <c r="K25" i="65"/>
  <c r="M65" i="73" s="1"/>
  <c r="K24" i="65"/>
  <c r="M64" i="73" s="1"/>
  <c r="K23" i="65"/>
  <c r="M63" i="73" s="1"/>
  <c r="K22" i="65"/>
  <c r="M62" i="73" s="1"/>
  <c r="I22" i="65"/>
  <c r="K62" i="73" s="1"/>
  <c r="I25" i="65"/>
  <c r="K65" i="73" s="1"/>
  <c r="I24" i="65"/>
  <c r="K64" i="73" s="1"/>
  <c r="I23" i="65"/>
  <c r="K63" i="73" s="1"/>
  <c r="AC44" i="33"/>
  <c r="AD44" i="33"/>
  <c r="K25" i="64"/>
  <c r="M57" i="73" s="1"/>
  <c r="K24" i="64"/>
  <c r="M56" i="73" s="1"/>
  <c r="K23" i="64"/>
  <c r="M55" i="73" s="1"/>
  <c r="K22" i="64"/>
  <c r="M54" i="73" s="1"/>
  <c r="J25" i="64"/>
  <c r="L57" i="73" s="1"/>
  <c r="J24" i="64"/>
  <c r="L56" i="73" s="1"/>
  <c r="J23" i="64"/>
  <c r="L55" i="73" s="1"/>
  <c r="J22" i="64"/>
  <c r="L54" i="73" s="1"/>
  <c r="I25" i="64"/>
  <c r="K57" i="73" s="1"/>
  <c r="I24" i="64"/>
  <c r="K56" i="73" s="1"/>
  <c r="I23" i="64"/>
  <c r="K55" i="73" s="1"/>
  <c r="I22" i="64"/>
  <c r="K54" i="73" s="1"/>
  <c r="H25" i="64"/>
  <c r="J57" i="73" s="1"/>
  <c r="H24" i="64"/>
  <c r="J56" i="73" s="1"/>
  <c r="H23" i="64"/>
  <c r="J55" i="73" s="1"/>
  <c r="H22" i="64"/>
  <c r="J54" i="73" s="1"/>
  <c r="Z97" i="73" l="1"/>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T33" i="73"/>
  <c r="AB17" i="73"/>
  <c r="AB14" i="73"/>
  <c r="BE21" i="67"/>
  <c r="BF21" i="67"/>
  <c r="BG21" i="67"/>
  <c r="BH21" i="67"/>
  <c r="AA16" i="73"/>
  <c r="T49" i="73"/>
  <c r="AP24" i="73"/>
  <c r="AA15" i="73"/>
  <c r="Z17" i="73"/>
  <c r="AE17" i="73" s="1"/>
  <c r="Z14" i="73"/>
  <c r="AE14" i="73" s="1"/>
  <c r="BE21" i="65"/>
  <c r="BF21" i="65"/>
  <c r="BG21" i="65"/>
  <c r="BH21" i="65"/>
  <c r="AP89" i="73"/>
  <c r="Z15" i="73"/>
  <c r="AE15" i="73" s="1"/>
  <c r="AP88" i="73"/>
  <c r="AA50" i="33"/>
  <c r="E98" i="48"/>
  <c r="I24" i="71"/>
  <c r="K48" i="73" s="1"/>
  <c r="H25" i="71"/>
  <c r="J49" i="73" s="1"/>
  <c r="J24" i="71"/>
  <c r="L48" i="73" s="1"/>
  <c r="I22" i="71"/>
  <c r="K46" i="73" s="1"/>
  <c r="K25" i="71"/>
  <c r="M49" i="73" s="1"/>
  <c r="K23" i="71"/>
  <c r="M47" i="73" s="1"/>
  <c r="H24" i="71"/>
  <c r="J48" i="73" s="1"/>
  <c r="J22" i="71"/>
  <c r="L46" i="73" s="1"/>
  <c r="I25" i="71"/>
  <c r="K49" i="73" s="1"/>
  <c r="I23" i="71"/>
  <c r="K47" i="73" s="1"/>
  <c r="J23" i="71"/>
  <c r="L47" i="73" s="1"/>
  <c r="H22" i="71"/>
  <c r="J46" i="73" s="1"/>
  <c r="K24" i="71"/>
  <c r="M48" i="73" s="1"/>
  <c r="J25" i="71"/>
  <c r="L49" i="73" s="1"/>
  <c r="H23" i="71"/>
  <c r="J47" i="73" s="1"/>
  <c r="K22" i="71"/>
  <c r="M46" i="73" s="1"/>
  <c r="AA14" i="73"/>
  <c r="K50" i="33"/>
  <c r="D97" i="48"/>
  <c r="T48" i="73"/>
  <c r="BE13" i="71" a="1"/>
  <c r="O46" i="73"/>
  <c r="T46" i="73" s="1"/>
  <c r="AA46" i="73" a="1"/>
  <c r="AB46" i="73" a="1"/>
  <c r="BE21" i="71" a="1"/>
  <c r="Z46" i="73" a="1"/>
  <c r="AC46" i="73" a="1"/>
  <c r="B48" i="73"/>
  <c r="B47" i="73"/>
  <c r="B49" i="73"/>
  <c r="B46" i="73"/>
  <c r="BS13" i="71" a="1"/>
  <c r="Z44" i="73"/>
  <c r="T47" i="73"/>
  <c r="CE13" i="71" a="1"/>
  <c r="AK46" i="73"/>
  <c r="AP46" i="73" s="1"/>
  <c r="AK44" i="73"/>
  <c r="BE21" i="64"/>
  <c r="BF21" i="64"/>
  <c r="BG21" i="64"/>
  <c r="BH21" i="64"/>
  <c r="BE21" i="63" a="1"/>
  <c r="B89" i="73"/>
  <c r="B86" i="73"/>
  <c r="AA30" i="73" a="1"/>
  <c r="AA32" i="73" s="1"/>
  <c r="T88" i="73"/>
  <c r="Z6" i="73" a="1"/>
  <c r="BS13" i="61" a="1"/>
  <c r="Z4" i="73"/>
  <c r="AC30" i="73" a="1"/>
  <c r="AC31" i="73" s="1"/>
  <c r="AC6" i="73" a="1"/>
  <c r="T7" i="73"/>
  <c r="BE13" i="61" a="1"/>
  <c r="O6" i="73"/>
  <c r="T6" i="73" s="1"/>
  <c r="H21" i="45"/>
  <c r="H27" i="45"/>
  <c r="H25" i="45"/>
  <c r="H26" i="45"/>
  <c r="H28" i="45"/>
  <c r="H23" i="45"/>
  <c r="H20" i="45"/>
  <c r="H24" i="45"/>
  <c r="H19" i="45"/>
  <c r="H17" i="45"/>
  <c r="H18" i="45"/>
  <c r="H22" i="45"/>
  <c r="T9" i="73"/>
  <c r="T8" i="73"/>
  <c r="J22" i="61"/>
  <c r="L6" i="73" s="1"/>
  <c r="I23" i="61"/>
  <c r="K7" i="73" s="1"/>
  <c r="H22" i="61"/>
  <c r="J6" i="73" s="1"/>
  <c r="K23" i="61"/>
  <c r="M7" i="73" s="1"/>
  <c r="I25" i="61"/>
  <c r="K9" i="73" s="1"/>
  <c r="J25" i="61"/>
  <c r="L9" i="73" s="1"/>
  <c r="K25" i="61"/>
  <c r="M9" i="73" s="1"/>
  <c r="I22" i="61"/>
  <c r="K6" i="73" s="1"/>
  <c r="J24" i="61"/>
  <c r="L8" i="73" s="1"/>
  <c r="K22" i="61"/>
  <c r="M6" i="73" s="1"/>
  <c r="H25" i="61"/>
  <c r="J9" i="73" s="1"/>
  <c r="H24" i="61"/>
  <c r="J8" i="73" s="1"/>
  <c r="J23" i="61"/>
  <c r="L7" i="73" s="1"/>
  <c r="I24" i="61"/>
  <c r="K8" i="73" s="1"/>
  <c r="H23" i="61"/>
  <c r="J7" i="73" s="1"/>
  <c r="K24" i="61"/>
  <c r="M8" i="73" s="1"/>
  <c r="AB6" i="73" a="1"/>
  <c r="T31" i="73"/>
  <c r="D94" i="48"/>
  <c r="H50" i="33"/>
  <c r="AA6" i="73" a="1"/>
  <c r="CE13" i="61" a="1"/>
  <c r="AK6" i="73"/>
  <c r="AP6" i="73" s="1"/>
  <c r="AK4" i="73"/>
  <c r="AF50" i="33"/>
  <c r="D102" i="48"/>
  <c r="B8" i="73"/>
  <c r="B6" i="73"/>
  <c r="B7" i="73"/>
  <c r="B9" i="73"/>
  <c r="O30" i="73"/>
  <c r="T30" i="73" s="1"/>
  <c r="BE13" i="70" a="1"/>
  <c r="T50" i="33"/>
  <c r="D105" i="48"/>
  <c r="B31" i="73"/>
  <c r="B33" i="73"/>
  <c r="B30" i="73"/>
  <c r="B32" i="73"/>
  <c r="AO50" i="33"/>
  <c r="D114" i="48"/>
  <c r="AB30" i="73" a="1"/>
  <c r="T32" i="73"/>
  <c r="H25" i="70"/>
  <c r="J33" i="73" s="1"/>
  <c r="I24" i="70"/>
  <c r="K32" i="73" s="1"/>
  <c r="H23" i="70"/>
  <c r="J31" i="73" s="1"/>
  <c r="I22" i="70"/>
  <c r="K30" i="73" s="1"/>
  <c r="K25" i="70"/>
  <c r="M33" i="73" s="1"/>
  <c r="K24" i="70"/>
  <c r="M32" i="73" s="1"/>
  <c r="K23" i="70"/>
  <c r="M31" i="73" s="1"/>
  <c r="K22" i="70"/>
  <c r="M30" i="73" s="1"/>
  <c r="J25" i="70"/>
  <c r="L33" i="73" s="1"/>
  <c r="J24" i="70"/>
  <c r="L32" i="73" s="1"/>
  <c r="J23" i="70"/>
  <c r="L31" i="73" s="1"/>
  <c r="J22" i="70"/>
  <c r="L30" i="73" s="1"/>
  <c r="I25" i="70"/>
  <c r="K33" i="73" s="1"/>
  <c r="H24" i="70"/>
  <c r="J32" i="73" s="1"/>
  <c r="I23" i="70"/>
  <c r="K31" i="73" s="1"/>
  <c r="H22" i="70"/>
  <c r="J30" i="73" s="1"/>
  <c r="CE13" i="70" a="1"/>
  <c r="AK30" i="73"/>
  <c r="AP30" i="73" s="1"/>
  <c r="AK28" i="73"/>
  <c r="Z28" i="73"/>
  <c r="Z30" i="73" a="1"/>
  <c r="BS13" i="70" a="1"/>
  <c r="AE16" i="73"/>
  <c r="C104" i="47"/>
  <c r="C104" i="28"/>
  <c r="B104" i="28" s="1"/>
  <c r="BH13" i="62"/>
  <c r="X13" i="73" s="1"/>
  <c r="BE13" i="62"/>
  <c r="BF13" i="62"/>
  <c r="V13" i="73" s="1"/>
  <c r="BG13" i="62"/>
  <c r="W13" i="73" s="1"/>
  <c r="CE13" i="62"/>
  <c r="CH13" i="62"/>
  <c r="AT13" i="73" s="1"/>
  <c r="CF13" i="62"/>
  <c r="AR13" i="73" s="1"/>
  <c r="CG13" i="62"/>
  <c r="AS13" i="73" s="1"/>
  <c r="BS13" i="62"/>
  <c r="BV13" i="62"/>
  <c r="BU13" i="62"/>
  <c r="BT13" i="62"/>
  <c r="E92" i="47"/>
  <c r="E92" i="28"/>
  <c r="D92" i="28" s="1"/>
  <c r="BV13" i="69"/>
  <c r="BS13" i="69"/>
  <c r="BT13" i="69"/>
  <c r="BU13" i="69"/>
  <c r="BF13" i="69"/>
  <c r="V69" i="73" s="1"/>
  <c r="BH13" i="69"/>
  <c r="X69" i="73" s="1"/>
  <c r="BG13" i="69"/>
  <c r="W69" i="73" s="1"/>
  <c r="BE13" i="69"/>
  <c r="CG13" i="69"/>
  <c r="AS69" i="73" s="1"/>
  <c r="CE13" i="69"/>
  <c r="CF13" i="69"/>
  <c r="AR69" i="73" s="1"/>
  <c r="CH13" i="69"/>
  <c r="AT69" i="73" s="1"/>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T86" i="73" s="1"/>
  <c r="AC86" i="73" a="1"/>
  <c r="T89" i="73"/>
  <c r="AA86" i="73" a="1"/>
  <c r="T87" i="73"/>
  <c r="D113" i="48"/>
  <c r="AU50" i="3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N50" i="33"/>
  <c r="D108" i="48"/>
  <c r="AB86" i="73" a="1"/>
  <c r="BS13" i="68" a="1"/>
  <c r="Z86" i="73" a="1"/>
  <c r="Z84" i="73"/>
  <c r="AB79" i="73"/>
  <c r="B41" i="73"/>
  <c r="T25" i="73"/>
  <c r="AB80" i="73"/>
  <c r="AP41" i="73"/>
  <c r="T23" i="73"/>
  <c r="B38" i="73"/>
  <c r="B40" i="73"/>
  <c r="AC38" i="73" a="1"/>
  <c r="AC39" i="73" s="1"/>
  <c r="AB78" i="73"/>
  <c r="C101" i="47"/>
  <c r="C101" i="28"/>
  <c r="B101" i="28" s="1"/>
  <c r="AF93" i="73" a="1"/>
  <c r="BS14" i="67" a="1"/>
  <c r="BE14" i="67" a="1"/>
  <c r="U93" i="73"/>
  <c r="E94" i="47"/>
  <c r="E94" i="28"/>
  <c r="D94" i="28" s="1"/>
  <c r="AQ93" i="73"/>
  <c r="CE14" i="67" a="1"/>
  <c r="AC22" i="73" a="1"/>
  <c r="AC24" i="73" s="1"/>
  <c r="BT13" i="65"/>
  <c r="BU13" i="65"/>
  <c r="BV13" i="65"/>
  <c r="BS13" i="65"/>
  <c r="AB54" i="73"/>
  <c r="AB55" i="73"/>
  <c r="AB56" i="73"/>
  <c r="AB57" i="73"/>
  <c r="T24" i="73"/>
  <c r="AA38" i="73" a="1"/>
  <c r="C97" i="47"/>
  <c r="C97" i="28"/>
  <c r="B97" i="28" s="1"/>
  <c r="B79" i="73"/>
  <c r="B80" i="73"/>
  <c r="B81" i="73"/>
  <c r="B78" i="73"/>
  <c r="AA62" i="73"/>
  <c r="AA63" i="73"/>
  <c r="AA64" i="73"/>
  <c r="AA65" i="73"/>
  <c r="B50" i="33"/>
  <c r="D96" i="48"/>
  <c r="H25" i="63"/>
  <c r="J25" i="73" s="1"/>
  <c r="H24" i="63"/>
  <c r="J24" i="73" s="1"/>
  <c r="H23" i="63"/>
  <c r="J23" i="73" s="1"/>
  <c r="H22" i="63"/>
  <c r="J22" i="73" s="1"/>
  <c r="K25" i="63"/>
  <c r="M25" i="73" s="1"/>
  <c r="K24" i="63"/>
  <c r="M24" i="73" s="1"/>
  <c r="K23" i="63"/>
  <c r="M23" i="73" s="1"/>
  <c r="K22" i="63"/>
  <c r="M22" i="73" s="1"/>
  <c r="J25" i="63"/>
  <c r="L25" i="73" s="1"/>
  <c r="J24" i="63"/>
  <c r="L24" i="73" s="1"/>
  <c r="J23" i="63"/>
  <c r="L23" i="73" s="1"/>
  <c r="J22" i="63"/>
  <c r="L22" i="73" s="1"/>
  <c r="I25" i="63"/>
  <c r="K25" i="73" s="1"/>
  <c r="I24" i="63"/>
  <c r="K24" i="73" s="1"/>
  <c r="I23" i="63"/>
  <c r="K23" i="73" s="1"/>
  <c r="I22" i="63"/>
  <c r="K22" i="73" s="1"/>
  <c r="R50" i="33"/>
  <c r="E109" i="48"/>
  <c r="BH13" i="66"/>
  <c r="X77" i="73" s="1"/>
  <c r="BG13" i="66"/>
  <c r="W77" i="73" s="1"/>
  <c r="BF13" i="66"/>
  <c r="V77" i="73" s="1"/>
  <c r="BE13" i="66"/>
  <c r="BF13" i="64"/>
  <c r="V53" i="73" s="1"/>
  <c r="BE13" i="64"/>
  <c r="BH13" i="64"/>
  <c r="X53" i="73" s="1"/>
  <c r="BG13" i="64"/>
  <c r="W53" i="73" s="1"/>
  <c r="AK20" i="73"/>
  <c r="CE13" i="63" a="1"/>
  <c r="AK22" i="73"/>
  <c r="AP22" i="73" s="1"/>
  <c r="T40" i="73"/>
  <c r="Z56" i="73"/>
  <c r="Z57" i="73"/>
  <c r="Z55" i="73"/>
  <c r="Z54" i="73"/>
  <c r="AE54" i="73" s="1"/>
  <c r="Z81" i="73"/>
  <c r="AE81" i="73" s="1"/>
  <c r="Z79" i="73"/>
  <c r="Z80" i="73"/>
  <c r="Z78" i="73"/>
  <c r="AE78" i="73" s="1"/>
  <c r="AA78" i="73"/>
  <c r="AA79" i="73"/>
  <c r="AA80" i="73"/>
  <c r="AA81" i="73"/>
  <c r="J25" i="72"/>
  <c r="L41" i="73" s="1"/>
  <c r="J24" i="72"/>
  <c r="L40" i="73" s="1"/>
  <c r="J23" i="72"/>
  <c r="L39" i="73" s="1"/>
  <c r="J22" i="72"/>
  <c r="L38" i="73" s="1"/>
  <c r="H25" i="72"/>
  <c r="J41" i="73" s="1"/>
  <c r="H24" i="72"/>
  <c r="J40" i="73" s="1"/>
  <c r="H23" i="72"/>
  <c r="J39" i="73" s="1"/>
  <c r="H22" i="72"/>
  <c r="J38" i="73" s="1"/>
  <c r="K25" i="72"/>
  <c r="M41" i="73" s="1"/>
  <c r="K24" i="72"/>
  <c r="M40" i="73" s="1"/>
  <c r="K23" i="72"/>
  <c r="M39" i="73" s="1"/>
  <c r="K22" i="72"/>
  <c r="M38" i="73" s="1"/>
  <c r="I25" i="72"/>
  <c r="K41" i="73" s="1"/>
  <c r="I24" i="72"/>
  <c r="K40" i="73" s="1"/>
  <c r="I23" i="72"/>
  <c r="K39" i="73" s="1"/>
  <c r="I22" i="72"/>
  <c r="K38" i="73" s="1"/>
  <c r="E103" i="47"/>
  <c r="E103" i="28"/>
  <c r="D103" i="28" s="1"/>
  <c r="AB38" i="73" a="1"/>
  <c r="L50" i="33"/>
  <c r="AB22" i="73" a="1"/>
  <c r="T41" i="73"/>
  <c r="CE13" i="72" a="1"/>
  <c r="AK36" i="73"/>
  <c r="AK38" i="73"/>
  <c r="AP38" i="73" s="1"/>
  <c r="AC62" i="73"/>
  <c r="AC63" i="73"/>
  <c r="AC64" i="73"/>
  <c r="AC65" i="73"/>
  <c r="AA22" i="73" a="1"/>
  <c r="Z50" i="33"/>
  <c r="D98" i="48"/>
  <c r="AB64" i="73"/>
  <c r="AB65" i="73"/>
  <c r="AB62" i="73"/>
  <c r="AB63" i="73"/>
  <c r="T39" i="73"/>
  <c r="AP40" i="73"/>
  <c r="BS13" i="66"/>
  <c r="BT13" i="66"/>
  <c r="BU13" i="66"/>
  <c r="BV13" i="66"/>
  <c r="CE13" i="66"/>
  <c r="CG13" i="66"/>
  <c r="AS77" i="73" s="1"/>
  <c r="CF13" i="66"/>
  <c r="AR77" i="73" s="1"/>
  <c r="CH13" i="66"/>
  <c r="AT77" i="73" s="1"/>
  <c r="C95" i="28"/>
  <c r="B95" i="28" s="1"/>
  <c r="C95" i="47"/>
  <c r="AC57" i="73"/>
  <c r="AC56" i="73"/>
  <c r="AC54" i="73"/>
  <c r="AC55" i="73"/>
  <c r="D112" i="48"/>
  <c r="AL50" i="33"/>
  <c r="BS13" i="64"/>
  <c r="BT13" i="64"/>
  <c r="BU13" i="64"/>
  <c r="BV13" i="64"/>
  <c r="K25" i="66"/>
  <c r="M81" i="73" s="1"/>
  <c r="K24" i="66"/>
  <c r="M80" i="73" s="1"/>
  <c r="K23" i="66"/>
  <c r="M79" i="73" s="1"/>
  <c r="K22" i="66"/>
  <c r="M78" i="73" s="1"/>
  <c r="J25" i="66"/>
  <c r="L81" i="73" s="1"/>
  <c r="J24" i="66"/>
  <c r="L80" i="73" s="1"/>
  <c r="J23" i="66"/>
  <c r="L79" i="73" s="1"/>
  <c r="J22" i="66"/>
  <c r="L78" i="73" s="1"/>
  <c r="I25" i="66"/>
  <c r="K81" i="73" s="1"/>
  <c r="I24" i="66"/>
  <c r="K80" i="73" s="1"/>
  <c r="I23" i="66"/>
  <c r="K79" i="73" s="1"/>
  <c r="I22" i="66"/>
  <c r="K78" i="73" s="1"/>
  <c r="H25" i="66"/>
  <c r="J81" i="73" s="1"/>
  <c r="H24" i="66"/>
  <c r="J80" i="73" s="1"/>
  <c r="H23" i="66"/>
  <c r="J79" i="73" s="1"/>
  <c r="H22" i="66"/>
  <c r="J78" i="73" s="1"/>
  <c r="BE13" i="63" a="1"/>
  <c r="O22" i="73"/>
  <c r="T22" i="73" s="1"/>
  <c r="AC50" i="33"/>
  <c r="D101" i="48"/>
  <c r="BF13" i="65"/>
  <c r="V61" i="73" s="1"/>
  <c r="BE13" i="65"/>
  <c r="BH13" i="65"/>
  <c r="X61" i="73" s="1"/>
  <c r="BG13" i="65"/>
  <c r="W61" i="73" s="1"/>
  <c r="CH13" i="64"/>
  <c r="AT53" i="73" s="1"/>
  <c r="CE13" i="64"/>
  <c r="CG13" i="64"/>
  <c r="AS53" i="73" s="1"/>
  <c r="CF13" i="64"/>
  <c r="AR53" i="73" s="1"/>
  <c r="AC79" i="73"/>
  <c r="AC81" i="73"/>
  <c r="AC80" i="73"/>
  <c r="AC78" i="73"/>
  <c r="O38" i="73"/>
  <c r="T38" i="73" s="1"/>
  <c r="BE13" i="72" a="1"/>
  <c r="B22" i="73"/>
  <c r="B23" i="73"/>
  <c r="B24" i="73"/>
  <c r="B25" i="73"/>
  <c r="BS13" i="72" a="1"/>
  <c r="Z36" i="73"/>
  <c r="Z38" i="73" a="1"/>
  <c r="CF13" i="65"/>
  <c r="AR61" i="73" s="1"/>
  <c r="CH13" i="65"/>
  <c r="AT61" i="73" s="1"/>
  <c r="CE13" i="65"/>
  <c r="CG13" i="65"/>
  <c r="AS61" i="73" s="1"/>
  <c r="E102" i="28"/>
  <c r="D102" i="28" s="1"/>
  <c r="E102" i="47"/>
  <c r="Z62" i="73"/>
  <c r="AE62" i="73" s="1"/>
  <c r="Z65" i="73"/>
  <c r="Z64" i="73"/>
  <c r="AE64" i="73" s="1"/>
  <c r="Z63" i="73"/>
  <c r="AE63" i="73" s="1"/>
  <c r="AA57" i="73"/>
  <c r="AA54" i="73"/>
  <c r="AA55" i="73"/>
  <c r="AA56" i="73"/>
  <c r="BS13" i="63" a="1"/>
  <c r="Z20" i="73"/>
  <c r="Z22" i="73" a="1"/>
  <c r="C103" i="28" l="1"/>
  <c r="B103" i="28" s="1"/>
  <c r="C103" i="47"/>
  <c r="BE22" i="62" a="1"/>
  <c r="BE25" i="62" s="1"/>
  <c r="BH21" i="72"/>
  <c r="BE21" i="61"/>
  <c r="BG21" i="61"/>
  <c r="BF21" i="61"/>
  <c r="BF21" i="72"/>
  <c r="BG21" i="68"/>
  <c r="BF21" i="68"/>
  <c r="BE21" i="68"/>
  <c r="BE21" i="72"/>
  <c r="BF21" i="70"/>
  <c r="BE21" i="70"/>
  <c r="BH21" i="70"/>
  <c r="BE22" i="67" a="1"/>
  <c r="BE22" i="65" a="1"/>
  <c r="AE65" i="73"/>
  <c r="AF13" i="73" a="1"/>
  <c r="AI13" i="73" s="1"/>
  <c r="BH13" i="71"/>
  <c r="X45" i="73" s="1"/>
  <c r="BG13" i="71"/>
  <c r="W45" i="73" s="1"/>
  <c r="BF13" i="71"/>
  <c r="V45" i="73" s="1"/>
  <c r="BE13" i="7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AT45" i="73" s="1"/>
  <c r="CE13" i="71"/>
  <c r="CG13" i="71"/>
  <c r="AS45" i="73" s="1"/>
  <c r="CF13" i="71"/>
  <c r="AR45" i="73" s="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W5" i="73" s="1"/>
  <c r="BE13" i="61"/>
  <c r="BH13" i="61"/>
  <c r="X5" i="73" s="1"/>
  <c r="BF13" i="61"/>
  <c r="V5" i="73" s="1"/>
  <c r="D28" i="45"/>
  <c r="G28" i="45"/>
  <c r="P28" i="45" s="1"/>
  <c r="F28" i="45"/>
  <c r="N28" i="45" s="1"/>
  <c r="E28" i="45"/>
  <c r="C28" i="45"/>
  <c r="I28" i="45"/>
  <c r="CE13" i="61"/>
  <c r="CF13" i="61"/>
  <c r="AR5" i="73" s="1"/>
  <c r="CG13" i="61"/>
  <c r="AS5" i="73" s="1"/>
  <c r="CH13" i="61"/>
  <c r="AT5" i="73" s="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AR29" i="73" s="1"/>
  <c r="CE13" i="70"/>
  <c r="CH13" i="70"/>
  <c r="AT29" i="73" s="1"/>
  <c r="CG13" i="70"/>
  <c r="AS29" i="73" s="1"/>
  <c r="BU13" i="70"/>
  <c r="BT13" i="70"/>
  <c r="BV13" i="70"/>
  <c r="BS13" i="70"/>
  <c r="AB32" i="73"/>
  <c r="AB30" i="73"/>
  <c r="AB31" i="73"/>
  <c r="AB33" i="73"/>
  <c r="C96" i="47"/>
  <c r="C96" i="28"/>
  <c r="B96" i="28" s="1"/>
  <c r="Z30" i="73"/>
  <c r="AE30" i="73" s="1"/>
  <c r="Z33" i="73"/>
  <c r="Z32" i="73"/>
  <c r="AE32" i="73" s="1"/>
  <c r="Z31" i="73"/>
  <c r="AE31" i="73" s="1"/>
  <c r="BG13" i="70"/>
  <c r="W29" i="73" s="1"/>
  <c r="BF13" i="70"/>
  <c r="V29" i="73" s="1"/>
  <c r="BE13" i="70"/>
  <c r="BH13" i="70"/>
  <c r="X29" i="73" s="1"/>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G24" i="62"/>
  <c r="BH22" i="62"/>
  <c r="BE22"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X97" i="73" s="1"/>
  <c r="BF17" i="67"/>
  <c r="V97" i="73" s="1"/>
  <c r="BH16" i="67"/>
  <c r="X96" i="73" s="1"/>
  <c r="BF16" i="67"/>
  <c r="V96" i="73" s="1"/>
  <c r="BH15" i="67"/>
  <c r="X95" i="73" s="1"/>
  <c r="BF15" i="67"/>
  <c r="V95" i="73" s="1"/>
  <c r="BH14" i="67"/>
  <c r="X94" i="73" s="1"/>
  <c r="BF14" i="67"/>
  <c r="V94" i="73" s="1"/>
  <c r="BG17" i="67"/>
  <c r="W97" i="73" s="1"/>
  <c r="BE17" i="67"/>
  <c r="U97" i="73" s="1"/>
  <c r="BG16" i="67"/>
  <c r="W96" i="73" s="1"/>
  <c r="BE16" i="67"/>
  <c r="U96" i="73" s="1"/>
  <c r="BG15" i="67"/>
  <c r="W95" i="73" s="1"/>
  <c r="BE15" i="67"/>
  <c r="U95" i="73" s="1"/>
  <c r="BG14" i="67"/>
  <c r="W94" i="73" s="1"/>
  <c r="BE14" i="67"/>
  <c r="U94" i="73" s="1"/>
  <c r="AC22" i="73"/>
  <c r="CF15" i="67"/>
  <c r="AR95" i="73" s="1"/>
  <c r="CH15" i="67"/>
  <c r="AT95" i="73" s="1"/>
  <c r="CF16" i="67"/>
  <c r="AR96" i="73" s="1"/>
  <c r="CH14" i="67"/>
  <c r="AT94" i="73" s="1"/>
  <c r="CF14" i="67"/>
  <c r="AR94" i="73" s="1"/>
  <c r="CH16" i="67"/>
  <c r="AT96" i="73" s="1"/>
  <c r="CE16" i="67"/>
  <c r="AQ96" i="73" s="1"/>
  <c r="CG15" i="67"/>
  <c r="AS95" i="73" s="1"/>
  <c r="CE15" i="67"/>
  <c r="AQ95" i="73" s="1"/>
  <c r="CG17" i="67"/>
  <c r="AS97" i="73" s="1"/>
  <c r="CE14" i="67"/>
  <c r="AQ94" i="73" s="1"/>
  <c r="CG16" i="67"/>
  <c r="AS96" i="73" s="1"/>
  <c r="CE17" i="67"/>
  <c r="AQ97" i="73" s="1"/>
  <c r="CG14" i="67"/>
  <c r="AS94" i="73" s="1"/>
  <c r="CF17" i="67"/>
  <c r="AR97" i="73" s="1"/>
  <c r="CH17" i="67"/>
  <c r="AT97" i="73" s="1"/>
  <c r="BV15" i="67"/>
  <c r="BU14" i="67"/>
  <c r="BT16" i="67"/>
  <c r="BT17" i="67"/>
  <c r="BT14" i="67"/>
  <c r="BT15" i="67"/>
  <c r="BS16" i="67"/>
  <c r="BS17" i="67"/>
  <c r="BS14" i="67"/>
  <c r="BS15" i="67"/>
  <c r="BU17" i="67"/>
  <c r="BV16" i="67"/>
  <c r="BU15" i="67"/>
  <c r="BV14" i="67"/>
  <c r="BV17" i="67"/>
  <c r="BU16" i="67"/>
  <c r="AC23" i="73"/>
  <c r="AC25" i="73"/>
  <c r="AG93" i="73"/>
  <c r="AH93" i="73"/>
  <c r="AI93" i="73"/>
  <c r="AF93" i="73"/>
  <c r="LJ103" i="47"/>
  <c r="JJ103" i="47"/>
  <c r="FW103" i="47"/>
  <c r="KJ103" i="47"/>
  <c r="FJ103" i="47"/>
  <c r="CW103" i="47"/>
  <c r="HW103" i="47"/>
  <c r="AW103" i="47"/>
  <c r="HJ103" i="47"/>
  <c r="DJ103" i="47"/>
  <c r="BW103" i="47"/>
  <c r="LW103" i="47"/>
  <c r="B103" i="47"/>
  <c r="GW103" i="47"/>
  <c r="J103" i="47"/>
  <c r="JW103" i="47"/>
  <c r="AJ103" i="47"/>
  <c r="EJ103" i="47"/>
  <c r="KW103" i="47"/>
  <c r="IW103" i="47"/>
  <c r="BJ103" i="47"/>
  <c r="W103" i="47"/>
  <c r="GJ103" i="47"/>
  <c r="IJ103" i="47"/>
  <c r="DW103" i="47"/>
  <c r="CJ103" i="47"/>
  <c r="EW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X37" i="73" s="1"/>
  <c r="BG13" i="72"/>
  <c r="W37" i="73" s="1"/>
  <c r="BF13" i="72"/>
  <c r="V37" i="73" s="1"/>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X21" i="73" s="1"/>
  <c r="BF13" i="63"/>
  <c r="V21" i="73" s="1"/>
  <c r="BG13" i="63"/>
  <c r="W21" i="73" s="1"/>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AT21" i="73" s="1"/>
  <c r="CE13" i="63"/>
  <c r="CG13" i="63"/>
  <c r="AS21" i="73" s="1"/>
  <c r="CF13" i="63"/>
  <c r="AR21" i="73" s="1"/>
  <c r="AA41" i="73"/>
  <c r="AA38" i="73"/>
  <c r="AA39" i="73"/>
  <c r="AA40" i="73"/>
  <c r="BU13" i="63"/>
  <c r="BV13" i="63"/>
  <c r="BS13" i="63"/>
  <c r="BT13" i="63"/>
  <c r="C99" i="47"/>
  <c r="C99" i="28"/>
  <c r="B99" i="28" s="1"/>
  <c r="AA22" i="73"/>
  <c r="AA25" i="73"/>
  <c r="AA23" i="73"/>
  <c r="AA24" i="73"/>
  <c r="CH13" i="72"/>
  <c r="AT37" i="73" s="1"/>
  <c r="CE13" i="72"/>
  <c r="CG13" i="72"/>
  <c r="AS37" i="73" s="1"/>
  <c r="CF13" i="72"/>
  <c r="AR37" i="73" s="1"/>
  <c r="BH25" i="62" l="1"/>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AT16" i="73" s="1"/>
  <c r="CH15" i="62"/>
  <c r="AT15" i="73" s="1"/>
  <c r="CF15" i="62"/>
  <c r="AR15" i="73" s="1"/>
  <c r="CH14" i="62"/>
  <c r="AT14" i="73" s="1"/>
  <c r="CF14" i="62"/>
  <c r="AR14" i="73" s="1"/>
  <c r="CG17" i="62"/>
  <c r="AS17" i="73" s="1"/>
  <c r="CF17" i="62"/>
  <c r="AR17" i="73" s="1"/>
  <c r="CG16" i="62"/>
  <c r="AS16" i="73" s="1"/>
  <c r="CE15" i="62"/>
  <c r="AQ15" i="73" s="1"/>
  <c r="CF16" i="62"/>
  <c r="AR16" i="73" s="1"/>
  <c r="CG14" i="62"/>
  <c r="AS14" i="73" s="1"/>
  <c r="CE14" i="62"/>
  <c r="AQ14" i="73" s="1"/>
  <c r="CE16" i="62"/>
  <c r="AQ16" i="73" s="1"/>
  <c r="CG15" i="62"/>
  <c r="AS15" i="73" s="1"/>
  <c r="CE17" i="62"/>
  <c r="AQ17" i="73" s="1"/>
  <c r="CH17" i="62"/>
  <c r="AT17" i="73" s="1"/>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V15" i="73" s="1"/>
  <c r="BH15" i="62"/>
  <c r="X15" i="73" s="1"/>
  <c r="BF14" i="62"/>
  <c r="V14" i="73" s="1"/>
  <c r="BH14" i="62"/>
  <c r="X14" i="73" s="1"/>
  <c r="BF17" i="62"/>
  <c r="V17" i="73" s="1"/>
  <c r="BH17" i="62"/>
  <c r="X17" i="73" s="1"/>
  <c r="BE14" i="62"/>
  <c r="U14" i="73" s="1"/>
  <c r="BG17" i="62"/>
  <c r="W17" i="73" s="1"/>
  <c r="BE16" i="62"/>
  <c r="U16" i="73" s="1"/>
  <c r="BF16" i="62"/>
  <c r="V16" i="73" s="1"/>
  <c r="BH16" i="62"/>
  <c r="X16" i="73" s="1"/>
  <c r="BE17" i="62"/>
  <c r="U17" i="73" s="1"/>
  <c r="BG16" i="62"/>
  <c r="W16" i="73" s="1"/>
  <c r="BG15" i="62"/>
  <c r="W15" i="73" s="1"/>
  <c r="BE15" i="62"/>
  <c r="U15" i="73" s="1"/>
  <c r="BG14" i="62"/>
  <c r="W14" i="73" s="1"/>
  <c r="BF14" i="69"/>
  <c r="V70" i="73" s="1"/>
  <c r="BH14" i="69"/>
  <c r="X70" i="73" s="1"/>
  <c r="BG17" i="69"/>
  <c r="W73" i="73" s="1"/>
  <c r="BE17" i="69"/>
  <c r="U73" i="73" s="1"/>
  <c r="BG16" i="69"/>
  <c r="W72" i="73" s="1"/>
  <c r="BE16" i="69"/>
  <c r="U72" i="73" s="1"/>
  <c r="BG15" i="69"/>
  <c r="W71" i="73" s="1"/>
  <c r="BE15" i="69"/>
  <c r="U71" i="73" s="1"/>
  <c r="BG14" i="69"/>
  <c r="W70" i="73" s="1"/>
  <c r="BE14" i="69"/>
  <c r="U70" i="73" s="1"/>
  <c r="BF17" i="69"/>
  <c r="V73" i="73" s="1"/>
  <c r="BH17" i="69"/>
  <c r="X73" i="73" s="1"/>
  <c r="BF16" i="69"/>
  <c r="V72" i="73" s="1"/>
  <c r="BH16" i="69"/>
  <c r="X72" i="73" s="1"/>
  <c r="BF15" i="69"/>
  <c r="V71" i="73" s="1"/>
  <c r="BH15" i="69"/>
  <c r="X71" i="73"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AT71" i="73" s="1"/>
  <c r="CF15" i="69"/>
  <c r="AR71" i="73" s="1"/>
  <c r="CH14" i="69"/>
  <c r="AT70" i="73" s="1"/>
  <c r="CF14" i="69"/>
  <c r="AR70" i="73" s="1"/>
  <c r="CE17" i="69"/>
  <c r="AQ73" i="73" s="1"/>
  <c r="CG17" i="69"/>
  <c r="AS73" i="73" s="1"/>
  <c r="CE16" i="69"/>
  <c r="AQ72" i="73" s="1"/>
  <c r="CG16" i="69"/>
  <c r="AS72" i="73" s="1"/>
  <c r="CE14" i="69"/>
  <c r="AQ70" i="73" s="1"/>
  <c r="CH16" i="69"/>
  <c r="AT72" i="73" s="1"/>
  <c r="CE15" i="69"/>
  <c r="AQ71" i="73" s="1"/>
  <c r="CG15" i="69"/>
  <c r="AS71" i="73" s="1"/>
  <c r="CG14" i="69"/>
  <c r="AS70" i="73" s="1"/>
  <c r="CF16" i="69"/>
  <c r="AR72" i="73" s="1"/>
  <c r="CH17" i="69"/>
  <c r="AT73" i="73" s="1"/>
  <c r="CF17" i="69"/>
  <c r="AR73" i="73" s="1"/>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AR65" i="73" s="1"/>
  <c r="CF16" i="65"/>
  <c r="AR64" i="73" s="1"/>
  <c r="CF15" i="65"/>
  <c r="AR63" i="73" s="1"/>
  <c r="CF14" i="65"/>
  <c r="AR62" i="73" s="1"/>
  <c r="CE16" i="65"/>
  <c r="AQ64" i="73" s="1"/>
  <c r="CE15" i="65"/>
  <c r="AQ63" i="73" s="1"/>
  <c r="CE17" i="65"/>
  <c r="AQ65" i="73" s="1"/>
  <c r="CE14" i="65"/>
  <c r="AQ62" i="73" s="1"/>
  <c r="CH17" i="65"/>
  <c r="AT65" i="73" s="1"/>
  <c r="CH16" i="65"/>
  <c r="AT64" i="73" s="1"/>
  <c r="CH15" i="65"/>
  <c r="AT63" i="73" s="1"/>
  <c r="CH14" i="65"/>
  <c r="AT62" i="73" s="1"/>
  <c r="CG17" i="65"/>
  <c r="AS65" i="73" s="1"/>
  <c r="CG16" i="65"/>
  <c r="AS64" i="73" s="1"/>
  <c r="CG15" i="65"/>
  <c r="AS63" i="73" s="1"/>
  <c r="CG14" i="65"/>
  <c r="AS62" i="73" s="1"/>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W57" i="73" s="1"/>
  <c r="BG16" i="64"/>
  <c r="W56" i="73" s="1"/>
  <c r="BG15" i="64"/>
  <c r="W55" i="73" s="1"/>
  <c r="BG14" i="64"/>
  <c r="W54" i="73" s="1"/>
  <c r="BF17" i="64"/>
  <c r="V57" i="73" s="1"/>
  <c r="BF16" i="64"/>
  <c r="V56" i="73" s="1"/>
  <c r="BF15" i="64"/>
  <c r="V55" i="73" s="1"/>
  <c r="BF14" i="64"/>
  <c r="V54" i="73" s="1"/>
  <c r="BE17" i="64"/>
  <c r="U57" i="73" s="1"/>
  <c r="BE16" i="64"/>
  <c r="U56" i="73" s="1"/>
  <c r="BE15" i="64"/>
  <c r="U55" i="73" s="1"/>
  <c r="BE14" i="64"/>
  <c r="U54" i="73" s="1"/>
  <c r="BH17" i="64"/>
  <c r="X57" i="73" s="1"/>
  <c r="BH16" i="64"/>
  <c r="X56" i="73" s="1"/>
  <c r="BH15" i="64"/>
  <c r="X55" i="73" s="1"/>
  <c r="BH14" i="64"/>
  <c r="X54" i="73" s="1"/>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AT57" i="73" s="1"/>
  <c r="CH16" i="64"/>
  <c r="AT56" i="73" s="1"/>
  <c r="CH15" i="64"/>
  <c r="AT55" i="73" s="1"/>
  <c r="CH14" i="64"/>
  <c r="AT54" i="73" s="1"/>
  <c r="CG16" i="64"/>
  <c r="AS56" i="73" s="1"/>
  <c r="CG15" i="64"/>
  <c r="AS55" i="73" s="1"/>
  <c r="CG17" i="64"/>
  <c r="AS57" i="73" s="1"/>
  <c r="CG14" i="64"/>
  <c r="AS54" i="73" s="1"/>
  <c r="CF17" i="64"/>
  <c r="AR57" i="73" s="1"/>
  <c r="CF16" i="64"/>
  <c r="AR56" i="73" s="1"/>
  <c r="CF15" i="64"/>
  <c r="AR55" i="73" s="1"/>
  <c r="CF14" i="64"/>
  <c r="AR54" i="73" s="1"/>
  <c r="CE16" i="64"/>
  <c r="AQ56" i="73" s="1"/>
  <c r="CE15" i="64"/>
  <c r="AQ55" i="73" s="1"/>
  <c r="CE14" i="64"/>
  <c r="AQ54" i="73" s="1"/>
  <c r="CE17" i="64"/>
  <c r="AQ57" i="73" s="1"/>
  <c r="AE38" i="73"/>
  <c r="AF53" i="73"/>
  <c r="AG53" i="73"/>
  <c r="AH53" i="73"/>
  <c r="AI53" i="73"/>
  <c r="BT16" i="65"/>
  <c r="BT14" i="65"/>
  <c r="BS16" i="65"/>
  <c r="BS14" i="65"/>
  <c r="BV17" i="65"/>
  <c r="BV15" i="65"/>
  <c r="BU15" i="65"/>
  <c r="BU17" i="65"/>
  <c r="BT17" i="65"/>
  <c r="BT15" i="65"/>
  <c r="BS17" i="65"/>
  <c r="BS15" i="65"/>
  <c r="BV16" i="65"/>
  <c r="BV14" i="65"/>
  <c r="BU16" i="65"/>
  <c r="BU14" i="65"/>
  <c r="BG17" i="65"/>
  <c r="W65" i="73" s="1"/>
  <c r="BG16" i="65"/>
  <c r="W64" i="73" s="1"/>
  <c r="BG15" i="65"/>
  <c r="W63" i="73" s="1"/>
  <c r="BG14" i="65"/>
  <c r="W62" i="73" s="1"/>
  <c r="BF17" i="65"/>
  <c r="V65" i="73" s="1"/>
  <c r="BF16" i="65"/>
  <c r="V64" i="73" s="1"/>
  <c r="BF15" i="65"/>
  <c r="V63" i="73" s="1"/>
  <c r="BF14" i="65"/>
  <c r="V62" i="73" s="1"/>
  <c r="BE17" i="65"/>
  <c r="U65" i="73" s="1"/>
  <c r="BE16" i="65"/>
  <c r="U64" i="73" s="1"/>
  <c r="BE15" i="65"/>
  <c r="U63" i="73" s="1"/>
  <c r="BE14" i="65"/>
  <c r="U62" i="73" s="1"/>
  <c r="BH17" i="65"/>
  <c r="X65" i="73" s="1"/>
  <c r="BH16" i="65"/>
  <c r="X64" i="73" s="1"/>
  <c r="BH15" i="65"/>
  <c r="X63" i="73" s="1"/>
  <c r="BH14" i="65"/>
  <c r="X62" i="73" s="1"/>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AT81" i="73" s="1"/>
  <c r="CH16" i="66"/>
  <c r="AT80" i="73" s="1"/>
  <c r="CH15" i="66"/>
  <c r="AT79" i="73" s="1"/>
  <c r="CH14" i="66"/>
  <c r="AT78" i="73" s="1"/>
  <c r="CG17" i="66"/>
  <c r="AS81" i="73" s="1"/>
  <c r="CG16" i="66"/>
  <c r="AS80" i="73" s="1"/>
  <c r="CG15" i="66"/>
  <c r="AS79" i="73" s="1"/>
  <c r="CG14" i="66"/>
  <c r="AS78" i="73" s="1"/>
  <c r="CF17" i="66"/>
  <c r="AR81" i="73" s="1"/>
  <c r="CF16" i="66"/>
  <c r="AR80" i="73" s="1"/>
  <c r="CF15" i="66"/>
  <c r="AR79" i="73" s="1"/>
  <c r="CF14" i="66"/>
  <c r="AR78" i="73" s="1"/>
  <c r="CE17" i="66"/>
  <c r="AQ81" i="73" s="1"/>
  <c r="CE16" i="66"/>
  <c r="AQ80" i="73" s="1"/>
  <c r="CE15" i="66"/>
  <c r="AQ79" i="73" s="1"/>
  <c r="CE14" i="66"/>
  <c r="AQ78" i="73" s="1"/>
  <c r="AE39" i="73"/>
  <c r="BE17" i="66"/>
  <c r="U81" i="73" s="1"/>
  <c r="BE16" i="66"/>
  <c r="U80" i="73" s="1"/>
  <c r="BE15" i="66"/>
  <c r="U79" i="73" s="1"/>
  <c r="BE14" i="66"/>
  <c r="U78" i="73" s="1"/>
  <c r="BH17" i="66"/>
  <c r="X81" i="73" s="1"/>
  <c r="BH16" i="66"/>
  <c r="X80" i="73" s="1"/>
  <c r="BH15" i="66"/>
  <c r="X79" i="73" s="1"/>
  <c r="BH14" i="66"/>
  <c r="X78" i="73" s="1"/>
  <c r="BG17" i="66"/>
  <c r="W81" i="73" s="1"/>
  <c r="BG16" i="66"/>
  <c r="W80" i="73" s="1"/>
  <c r="BG15" i="66"/>
  <c r="W79" i="73" s="1"/>
  <c r="BG14" i="66"/>
  <c r="W78" i="73" s="1"/>
  <c r="BF17" i="66"/>
  <c r="V81" i="73" s="1"/>
  <c r="BF16" i="66"/>
  <c r="V80" i="73" s="1"/>
  <c r="BF15" i="66"/>
  <c r="V79" i="73" s="1"/>
  <c r="BF14" i="66"/>
  <c r="V78" i="73" s="1"/>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T103" i="47" l="1"/>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AT48" i="73" s="1"/>
  <c r="CF14" i="71"/>
  <c r="AR46" i="73" s="1"/>
  <c r="CG14" i="71"/>
  <c r="AS46" i="73" s="1"/>
  <c r="CE15" i="71"/>
  <c r="AQ47" i="73" s="1"/>
  <c r="CE14" i="71"/>
  <c r="AQ46" i="73" s="1"/>
  <c r="CF17" i="71"/>
  <c r="AR49" i="73" s="1"/>
  <c r="CG16" i="71"/>
  <c r="AS48" i="73" s="1"/>
  <c r="CH14" i="71"/>
  <c r="AT46" i="73" s="1"/>
  <c r="CF16" i="71"/>
  <c r="AR48" i="73" s="1"/>
  <c r="CH17" i="71"/>
  <c r="AT49" i="73" s="1"/>
  <c r="CE16" i="71"/>
  <c r="AQ48" i="73" s="1"/>
  <c r="CG17" i="71"/>
  <c r="AS49" i="73" s="1"/>
  <c r="CF15" i="71"/>
  <c r="AR47" i="73" s="1"/>
  <c r="CH15" i="71"/>
  <c r="AT47" i="73" s="1"/>
  <c r="CE17" i="71"/>
  <c r="AQ49" i="73" s="1"/>
  <c r="CG15" i="71"/>
  <c r="AS47" i="73" s="1"/>
  <c r="CT103" i="47"/>
  <c r="BF15" i="71"/>
  <c r="V47" i="73" s="1"/>
  <c r="BG15" i="71"/>
  <c r="W47" i="73" s="1"/>
  <c r="BG16" i="71"/>
  <c r="W48" i="73" s="1"/>
  <c r="BG14" i="71"/>
  <c r="W46" i="73" s="1"/>
  <c r="BH15" i="71"/>
  <c r="X47" i="73" s="1"/>
  <c r="BE15" i="71"/>
  <c r="U47" i="73" s="1"/>
  <c r="BE16" i="71"/>
  <c r="U48" i="73" s="1"/>
  <c r="BE14" i="71"/>
  <c r="U46" i="73" s="1"/>
  <c r="BF14" i="71"/>
  <c r="V46" i="73" s="1"/>
  <c r="BG17" i="71"/>
  <c r="W49" i="73" s="1"/>
  <c r="BF17" i="71"/>
  <c r="V49" i="73" s="1"/>
  <c r="BF16" i="71"/>
  <c r="V48" i="73" s="1"/>
  <c r="BH14" i="71"/>
  <c r="X46" i="73" s="1"/>
  <c r="BE17" i="71"/>
  <c r="U49" i="73" s="1"/>
  <c r="BH17" i="71"/>
  <c r="X49" i="73" s="1"/>
  <c r="BH16" i="71"/>
  <c r="X48" i="73" s="1"/>
  <c r="EG103" i="47"/>
  <c r="DG103" i="47"/>
  <c r="CG103" i="47"/>
  <c r="BT15" i="61"/>
  <c r="BV15" i="61"/>
  <c r="BT16" i="61"/>
  <c r="BV14" i="61"/>
  <c r="BT17" i="61"/>
  <c r="BV17" i="61"/>
  <c r="BU14" i="61"/>
  <c r="BV16" i="61"/>
  <c r="BU15" i="61"/>
  <c r="BS14" i="61"/>
  <c r="BS17" i="61"/>
  <c r="BU16" i="61"/>
  <c r="BS16" i="61"/>
  <c r="BU17" i="61"/>
  <c r="BT14" i="61"/>
  <c r="BS15" i="61"/>
  <c r="BG17" i="61"/>
  <c r="W9" i="73" s="1"/>
  <c r="BG14" i="61"/>
  <c r="W6" i="73" s="1"/>
  <c r="BF14" i="61"/>
  <c r="V6" i="73" s="1"/>
  <c r="BE17" i="61"/>
  <c r="U9" i="73" s="1"/>
  <c r="BE16" i="61"/>
  <c r="U8" i="73" s="1"/>
  <c r="BH16" i="61"/>
  <c r="X8" i="73" s="1"/>
  <c r="BE15" i="61"/>
  <c r="U7" i="73" s="1"/>
  <c r="BG15" i="61"/>
  <c r="W7" i="73" s="1"/>
  <c r="BE14" i="61"/>
  <c r="U6" i="73" s="1"/>
  <c r="BH14" i="61"/>
  <c r="X6" i="73" s="1"/>
  <c r="BH17" i="61"/>
  <c r="X9" i="73" s="1"/>
  <c r="BF17" i="61"/>
  <c r="V9" i="73" s="1"/>
  <c r="BH15" i="61"/>
  <c r="X7" i="73" s="1"/>
  <c r="BG16" i="61"/>
  <c r="W8" i="73" s="1"/>
  <c r="BF16" i="61"/>
  <c r="V8" i="73" s="1"/>
  <c r="BF15" i="61"/>
  <c r="V7" i="73" s="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AQ9" i="73" s="1"/>
  <c r="CG17" i="61"/>
  <c r="AS9" i="73" s="1"/>
  <c r="CG14" i="61"/>
  <c r="AS6" i="73" s="1"/>
  <c r="CE16" i="61"/>
  <c r="AQ8" i="73" s="1"/>
  <c r="CG15" i="61"/>
  <c r="AS7" i="73" s="1"/>
  <c r="CE15" i="61"/>
  <c r="AQ7" i="73" s="1"/>
  <c r="CH17" i="61"/>
  <c r="AT9" i="73" s="1"/>
  <c r="CH16" i="61"/>
  <c r="AT8" i="73" s="1"/>
  <c r="CF17" i="61"/>
  <c r="AR9" i="73" s="1"/>
  <c r="CE14" i="61"/>
  <c r="AQ6" i="73" s="1"/>
  <c r="CF16" i="61"/>
  <c r="AR8" i="73" s="1"/>
  <c r="CH14" i="61"/>
  <c r="AT6" i="73" s="1"/>
  <c r="CF15" i="61"/>
  <c r="AR7" i="73" s="1"/>
  <c r="CH15" i="61"/>
  <c r="AT7" i="73" s="1"/>
  <c r="CF14" i="61"/>
  <c r="AR6" i="73" s="1"/>
  <c r="CG16" i="61"/>
  <c r="AS8" i="73" s="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X30" i="73" s="1"/>
  <c r="BF14" i="70"/>
  <c r="V30" i="73" s="1"/>
  <c r="BH16" i="70"/>
  <c r="X32" i="73" s="1"/>
  <c r="BF16" i="70"/>
  <c r="V32" i="73" s="1"/>
  <c r="BE17" i="70"/>
  <c r="U33" i="73" s="1"/>
  <c r="BH17" i="70"/>
  <c r="X33" i="73" s="1"/>
  <c r="BF17" i="70"/>
  <c r="V33" i="73" s="1"/>
  <c r="BG14" i="70"/>
  <c r="W30" i="73" s="1"/>
  <c r="BE14" i="70"/>
  <c r="U30" i="73" s="1"/>
  <c r="BG15" i="70"/>
  <c r="W31" i="73" s="1"/>
  <c r="BF15" i="70"/>
  <c r="V31" i="73" s="1"/>
  <c r="BE15" i="70"/>
  <c r="U31" i="73" s="1"/>
  <c r="BG17" i="70"/>
  <c r="W33" i="73" s="1"/>
  <c r="BG16" i="70"/>
  <c r="W32" i="73" s="1"/>
  <c r="BE16" i="70"/>
  <c r="U32" i="73" s="1"/>
  <c r="BH15" i="70"/>
  <c r="X31" i="73" s="1"/>
  <c r="LG103" i="47"/>
  <c r="CF17" i="70"/>
  <c r="AR33" i="73" s="1"/>
  <c r="CG14" i="70"/>
  <c r="AS30" i="73" s="1"/>
  <c r="CG17" i="70"/>
  <c r="AS33" i="73" s="1"/>
  <c r="CG15" i="70"/>
  <c r="AS31" i="73" s="1"/>
  <c r="CF16" i="70"/>
  <c r="AR32" i="73" s="1"/>
  <c r="CH17" i="70"/>
  <c r="AT33" i="73" s="1"/>
  <c r="CE17" i="70"/>
  <c r="AQ33" i="73" s="1"/>
  <c r="CF14" i="70"/>
  <c r="AR30" i="73" s="1"/>
  <c r="CE16" i="70"/>
  <c r="AQ32" i="73" s="1"/>
  <c r="CE15" i="70"/>
  <c r="AQ31" i="73" s="1"/>
  <c r="CG16" i="70"/>
  <c r="AS32" i="73" s="1"/>
  <c r="CH15" i="70"/>
  <c r="AT31" i="73" s="1"/>
  <c r="CH16" i="70"/>
  <c r="AT32" i="73" s="1"/>
  <c r="CF15" i="70"/>
  <c r="AR31" i="73" s="1"/>
  <c r="CH14" i="70"/>
  <c r="AT30" i="73" s="1"/>
  <c r="CE14" i="70"/>
  <c r="AQ30" i="73" s="1"/>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AQ41" i="73" s="1"/>
  <c r="CE16" i="72"/>
  <c r="AQ40" i="73" s="1"/>
  <c r="CE15" i="72"/>
  <c r="AQ39" i="73" s="1"/>
  <c r="CE14" i="72"/>
  <c r="AQ38" i="73" s="1"/>
  <c r="CH16" i="72"/>
  <c r="AT40" i="73" s="1"/>
  <c r="CH17" i="72"/>
  <c r="AT41" i="73" s="1"/>
  <c r="CH15" i="72"/>
  <c r="AT39" i="73" s="1"/>
  <c r="CH14" i="72"/>
  <c r="AT38" i="73" s="1"/>
  <c r="CG17" i="72"/>
  <c r="AS41" i="73" s="1"/>
  <c r="CG16" i="72"/>
  <c r="AS40" i="73" s="1"/>
  <c r="CG15" i="72"/>
  <c r="AS39" i="73" s="1"/>
  <c r="CG14" i="72"/>
  <c r="AS38" i="73" s="1"/>
  <c r="CF16" i="72"/>
  <c r="AR40" i="73" s="1"/>
  <c r="CF15" i="72"/>
  <c r="AR39" i="73" s="1"/>
  <c r="CF14" i="72"/>
  <c r="AR38" i="73" s="1"/>
  <c r="CF17" i="72"/>
  <c r="AR41" i="73" s="1"/>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W25" i="73" s="1"/>
  <c r="BG16" i="63"/>
  <c r="W24" i="73" s="1"/>
  <c r="BG15" i="63"/>
  <c r="W23" i="73" s="1"/>
  <c r="BG14" i="63"/>
  <c r="W22" i="73" s="1"/>
  <c r="BF17" i="63"/>
  <c r="V25" i="73" s="1"/>
  <c r="BF16" i="63"/>
  <c r="V24" i="73" s="1"/>
  <c r="BF15" i="63"/>
  <c r="V23" i="73" s="1"/>
  <c r="BF14" i="63"/>
  <c r="V22" i="73" s="1"/>
  <c r="BE17" i="63"/>
  <c r="U25" i="73" s="1"/>
  <c r="BE15" i="63"/>
  <c r="U23" i="73" s="1"/>
  <c r="BH16" i="63"/>
  <c r="X24" i="73" s="1"/>
  <c r="BH14" i="63"/>
  <c r="X22" i="73" s="1"/>
  <c r="BE16" i="63"/>
  <c r="U24" i="73" s="1"/>
  <c r="BE14" i="63"/>
  <c r="U22" i="73" s="1"/>
  <c r="BH17" i="63"/>
  <c r="X25" i="73" s="1"/>
  <c r="BH15" i="63"/>
  <c r="X23" i="73" s="1"/>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CT98" i="47" s="1"/>
  <c r="JV98" i="47"/>
  <c r="KV98" i="47"/>
  <c r="IV98" i="47"/>
  <c r="AV98" i="47"/>
  <c r="AI98" i="47"/>
  <c r="CV98" i="47"/>
  <c r="BV98" i="47"/>
  <c r="LI98" i="47"/>
  <c r="JI98" i="47"/>
  <c r="FI98" i="47"/>
  <c r="EI98" i="47"/>
  <c r="HI98" i="47"/>
  <c r="HV98" i="47"/>
  <c r="BI98" i="47"/>
  <c r="V98" i="47"/>
  <c r="AG98" i="47" s="1"/>
  <c r="II98" i="47"/>
  <c r="GI98" i="47"/>
  <c r="KI98" i="47"/>
  <c r="KT98" i="47" s="1"/>
  <c r="LV98" i="47"/>
  <c r="DI98" i="47"/>
  <c r="DT98" i="47" s="1"/>
  <c r="DV98" i="47"/>
  <c r="GV98" i="47"/>
  <c r="I98" i="47"/>
  <c r="T98" i="47" s="1"/>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AR25" i="73" s="1"/>
  <c r="CF16" i="63"/>
  <c r="AR24" i="73" s="1"/>
  <c r="CF15" i="63"/>
  <c r="AR23" i="73" s="1"/>
  <c r="CF14" i="63"/>
  <c r="AR22" i="73" s="1"/>
  <c r="CE17" i="63"/>
  <c r="AQ25" i="73" s="1"/>
  <c r="CE16" i="63"/>
  <c r="AQ24" i="73" s="1"/>
  <c r="CE15" i="63"/>
  <c r="AQ23" i="73" s="1"/>
  <c r="CE14" i="63"/>
  <c r="AQ22" i="73" s="1"/>
  <c r="CH17" i="63"/>
  <c r="AT25" i="73" s="1"/>
  <c r="CH16" i="63"/>
  <c r="AT24" i="73" s="1"/>
  <c r="CH15" i="63"/>
  <c r="AT23" i="73" s="1"/>
  <c r="CH14" i="63"/>
  <c r="AT22" i="73" s="1"/>
  <c r="CG17" i="63"/>
  <c r="AS25" i="73" s="1"/>
  <c r="CG16" i="63"/>
  <c r="AS24" i="73" s="1"/>
  <c r="CG15" i="63"/>
  <c r="AS23" i="73" s="1"/>
  <c r="CG14" i="63"/>
  <c r="AS22" i="73" s="1"/>
  <c r="BF17" i="72"/>
  <c r="V41" i="73" s="1"/>
  <c r="BF16" i="72"/>
  <c r="V40" i="73" s="1"/>
  <c r="BF15" i="72"/>
  <c r="V39" i="73" s="1"/>
  <c r="BF14" i="72"/>
  <c r="V38" i="73" s="1"/>
  <c r="BE17" i="72"/>
  <c r="U41" i="73" s="1"/>
  <c r="BE16" i="72"/>
  <c r="U40" i="73" s="1"/>
  <c r="BE15" i="72"/>
  <c r="U39" i="73" s="1"/>
  <c r="BE14" i="72"/>
  <c r="U38" i="73" s="1"/>
  <c r="BH17" i="72"/>
  <c r="X41" i="73" s="1"/>
  <c r="BH16" i="72"/>
  <c r="X40" i="73" s="1"/>
  <c r="BH15" i="72"/>
  <c r="X39" i="73" s="1"/>
  <c r="BH14" i="72"/>
  <c r="X38" i="73" s="1"/>
  <c r="BG17" i="72"/>
  <c r="W41" i="73" s="1"/>
  <c r="BG16" i="72"/>
  <c r="W40" i="73" s="1"/>
  <c r="BG15" i="72"/>
  <c r="W39" i="73" s="1"/>
  <c r="BG14" i="72"/>
  <c r="W38" i="73" s="1"/>
  <c r="AX93" i="47"/>
  <c r="HX93" i="47"/>
  <c r="HK93" i="47"/>
  <c r="HT93" i="47" s="1"/>
  <c r="LX93" i="47"/>
  <c r="MG93" i="47" s="1"/>
  <c r="FK93" i="47"/>
  <c r="FT93" i="47" s="1"/>
  <c r="X93" i="47"/>
  <c r="AK93" i="47"/>
  <c r="LK93" i="47"/>
  <c r="GX93" i="47"/>
  <c r="KK93" i="47"/>
  <c r="KT93" i="47" s="1"/>
  <c r="GK93" i="47"/>
  <c r="IK93" i="47"/>
  <c r="IT93" i="47" s="1"/>
  <c r="BK93" i="47"/>
  <c r="BT93" i="47" s="1"/>
  <c r="IX93" i="47"/>
  <c r="JG93" i="47" s="1"/>
  <c r="JK93" i="47"/>
  <c r="JX93" i="47"/>
  <c r="CX93" i="47"/>
  <c r="KX93" i="47"/>
  <c r="EX93" i="47"/>
  <c r="DX93" i="47"/>
  <c r="FX93" i="47"/>
  <c r="CK93" i="47"/>
  <c r="CT93" i="47" s="1"/>
  <c r="EK93" i="47"/>
  <c r="DK93" i="47"/>
  <c r="K93" i="47"/>
  <c r="BX93" i="47"/>
  <c r="AG93" i="47" l="1"/>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H49" i="73" l="1"/>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<sst xmlns="http://schemas.openxmlformats.org/spreadsheetml/2006/main" count="7732" uniqueCount="1898">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</sst>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1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right style="medium">
        <color theme="2" tint="-9.9917600024414813E-2"/>
      </right>
      <top style="thin">
        <color theme="2" tint="-9.9948118533890809E-2"/>
      </top>
      <bottom style="thick">
        <color theme="2" tint="-0.24994659260841701"/>
      </bottom>
      <diagonal/>
    </border>
    <border>
      <left style="thin">
        <color theme="2" tint="-9.9948118533890809E-2"/>
      </left>
      <right style="medium">
        <color theme="2" tint="-9.9917600024414813E-2"/>
      </right>
      <top style="thick">
        <color theme="2" tint="-0.24994659260841701"/>
      </top>
      <bottom style="thin">
        <color theme="2" tint="-9.9948118533890809E-2"/>
      </bottom>
      <diagonal/>
    </border>
    <border>
      <left/>
      <right style="medium">
        <color theme="2" tint="-9.9917600024414813E-2"/>
      </right>
      <top style="thin">
        <color theme="2" tint="-9.9948118533890809E-2"/>
      </top>
      <bottom style="thin">
        <color theme="2" tint="-9.9948118533890809E-2"/>
      </bottom>
      <diagonal/>
    </border>
    <border>
      <left style="thin">
        <color theme="2" tint="-9.9948118533890809E-2"/>
      </left>
      <right style="medium">
        <color theme="2" tint="-9.9917600024414813E-2"/>
      </right>
      <top style="thin">
        <color theme="2" tint="-9.9948118533890809E-2"/>
      </top>
      <bottom/>
      <diagonal/>
    </border>
    <border>
      <left style="thin">
        <color theme="2" tint="-9.9948118533890809E-2"/>
      </left>
      <right style="medium">
        <color theme="2" tint="-9.9917600024414813E-2"/>
      </right>
      <top/>
      <bottom/>
      <diagonal/>
    </border>
    <border>
      <left style="thin">
        <color theme="2" tint="-9.9948118533890809E-2"/>
      </left>
      <right style="medium">
        <color theme="2" tint="-9.9917600024414813E-2"/>
      </right>
      <top/>
      <bottom style="thin">
        <color theme="2" tint="-9.9948118533890809E-2"/>
      </bottom>
      <diagonal/>
    </border>
    <border>
      <left style="thin">
        <color theme="2" tint="-9.9948118533890809E-2"/>
      </left>
      <right style="medium">
        <color theme="2" tint="-9.9917600024414813E-2"/>
      </right>
      <top style="thin">
        <color theme="2" tint="-9.9948118533890809E-2"/>
      </top>
      <bottom style="thin">
        <color theme="2" tint="-9.9948118533890809E-2"/>
      </bottom>
      <diagonal/>
    </border>
    <border>
      <left/>
      <right style="medium">
        <color theme="2" tint="-9.9917600024414813E-2"/>
      </right>
      <top/>
      <bottom style="thick">
        <color theme="2" tint="-0.24994659260841701"/>
      </bottom>
      <diagonal/>
    </border>
    <border>
      <left style="thin">
        <color theme="2" tint="-9.9948118533890809E-2"/>
      </left>
      <right style="medium">
        <color theme="2" tint="-9.9917600024414813E-2"/>
      </right>
      <top style="thin">
        <color theme="2" tint="-9.9948118533890809E-2"/>
      </top>
      <bottom style="double">
        <color theme="2" tint="-0.24994659260841701"/>
      </bottom>
      <diagonal/>
    </border>
    <border>
      <left/>
      <right style="medium">
        <color theme="2" tint="-9.9917600024414813E-2"/>
      </right>
      <top style="double">
        <color theme="2" tint="-0.24994659260841701"/>
      </top>
      <bottom style="thick">
        <color theme="2" tint="-0.24994659260841701"/>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99">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40" fillId="0" borderId="0" xfId="0" applyFont="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30" fillId="0" borderId="0" xfId="0" applyFont="1" applyAlignment="1">
      <alignment horizontal="center" vertical="center"/>
    </xf>
    <xf numFmtId="0" fontId="54" fillId="11" borderId="3" xfId="0" applyFont="1" applyFill="1" applyBorder="1" applyAlignment="1">
      <alignment horizontal="center" vertical="center"/>
    </xf>
    <xf numFmtId="0" fontId="54" fillId="11" borderId="4" xfId="0" applyFont="1" applyFill="1" applyBorder="1" applyAlignment="1">
      <alignment horizontal="center" vertic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6" fillId="17" borderId="13" xfId="0" applyFont="1" applyFill="1" applyBorder="1" applyAlignment="1">
      <alignment horizontal="center"/>
    </xf>
    <xf numFmtId="0" fontId="29" fillId="0" borderId="14" xfId="0" applyFont="1" applyBorder="1" applyAlignment="1">
      <alignment horizontal="center" vertical="center"/>
    </xf>
    <xf numFmtId="0" fontId="30" fillId="0" borderId="0" xfId="0" applyFont="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66" fillId="2" borderId="0" xfId="0" applyFont="1" applyFill="1" applyAlignment="1">
      <alignment horizontal="center" vertical="center"/>
    </xf>
    <xf numFmtId="166" fontId="7" fillId="11" borderId="0" xfId="0" applyNumberFormat="1" applyFont="1" applyFill="1" applyAlignment="1">
      <alignment horizont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54" fillId="11" borderId="101" xfId="0" applyFont="1" applyFill="1" applyBorder="1" applyAlignment="1">
      <alignment horizontal="center" vertical="center"/>
    </xf>
    <xf numFmtId="0" fontId="9" fillId="18" borderId="13" xfId="0" applyFont="1" applyFill="1" applyBorder="1" applyAlignment="1">
      <alignment horizontal="center" vertical="center"/>
    </xf>
    <xf numFmtId="0" fontId="9" fillId="17" borderId="13" xfId="0" applyFont="1" applyFill="1" applyBorder="1" applyAlignment="1">
      <alignment horizontal="center" vertic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77" fillId="0" borderId="0" xfId="0" applyFont="1" applyAlignment="1">
      <alignment horizontal="center"/>
    </xf>
    <xf numFmtId="0" fontId="94" fillId="0" borderId="0" xfId="0" applyFont="1" applyAlignment="1">
      <alignment horizontal="center" vertical="center" wrapText="1"/>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0" fillId="0" borderId="109" xfId="0" applyFont="1" applyBorder="1" applyAlignment="1">
      <alignment horizontal="center" vertical="center" wrapText="1"/>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62" fillId="0" borderId="0" xfId="0" applyFont="1" applyAlignment="1">
      <alignment horizontal="center" vertical="center"/>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76" fillId="0" borderId="0" xfId="0" applyFont="1" applyAlignment="1">
      <alignment horizontal="center"/>
    </xf>
    <xf numFmtId="0" fontId="46" fillId="0" borderId="0" xfId="0" applyFont="1" applyAlignment="1">
      <alignment horizontal="center"/>
    </xf>
    <xf numFmtId="0" fontId="88" fillId="0" borderId="0" xfId="0" applyFont="1" applyAlignment="1">
      <alignment horizontal="center" vertic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xf numFmtId="0" fontId="0" fillId="0" borderId="0" xfId="0" applyBorder="1" applyAlignment="1">
      <alignment vertical="center" wrapText="1"/>
    </xf>
    <xf numFmtId="0" fontId="57" fillId="0" borderId="0" xfId="0" applyFont="1" applyBorder="1" applyAlignment="1">
      <alignment horizontal="center" vertical="center"/>
    </xf>
    <xf numFmtId="0" fontId="0" fillId="0" borderId="0" xfId="0" applyBorder="1"/>
    <xf numFmtId="0" fontId="0" fillId="0" borderId="0" xfId="0" applyBorder="1" applyAlignment="1">
      <alignment horizontal="center" vertical="center"/>
    </xf>
    <xf numFmtId="0" fontId="0" fillId="0" borderId="0" xfId="0" applyBorder="1" applyAlignment="1">
      <alignment horizontal="center"/>
    </xf>
    <xf numFmtId="0" fontId="4" fillId="0" borderId="0" xfId="0" applyFont="1" applyBorder="1" applyAlignment="1">
      <alignment horizontal="left" vertical="center"/>
    </xf>
    <xf numFmtId="0" fontId="0" fillId="0" borderId="0" xfId="0" applyBorder="1" applyAlignment="1">
      <alignment horizontal="left" vertical="center" wrapText="1" indent="1"/>
    </xf>
    <xf numFmtId="0" fontId="0" fillId="0" borderId="0" xfId="0" applyFill="1" applyBorder="1"/>
    <xf numFmtId="0" fontId="0" fillId="0" borderId="0" xfId="0" applyFill="1" applyBorder="1" applyAlignment="1">
      <alignment horizontal="center"/>
    </xf>
    <xf numFmtId="0" fontId="62" fillId="0" borderId="0" xfId="0" applyFont="1" applyFill="1" applyBorder="1" applyAlignment="1">
      <alignment horizontal="center" vertical="center"/>
    </xf>
    <xf numFmtId="0" fontId="58" fillId="0" borderId="0" xfId="0" applyFont="1" applyFill="1" applyBorder="1" applyAlignment="1" applyProtection="1">
      <alignment horizontal="center" vertical="center"/>
      <protection locked="0"/>
    </xf>
    <xf numFmtId="0" fontId="4" fillId="0" borderId="0" xfId="0" applyFont="1" applyFill="1" applyBorder="1" applyAlignment="1">
      <alignment horizontal="left" vertical="center" indent="1"/>
    </xf>
    <xf numFmtId="0" fontId="60" fillId="0" borderId="0" xfId="0" applyFont="1" applyFill="1" applyBorder="1" applyAlignment="1">
      <alignment horizontal="center" vertical="center" wrapText="1"/>
    </xf>
    <xf numFmtId="0" fontId="0" fillId="0" borderId="0" xfId="0" applyFill="1" applyBorder="1" applyAlignment="1">
      <alignment horizontal="center" vertical="center" textRotation="90"/>
    </xf>
    <xf numFmtId="0" fontId="6" fillId="0" borderId="0" xfId="0" applyFont="1" applyFill="1" applyBorder="1" applyAlignment="1">
      <alignment horizontal="left" vertical="center" indent="1"/>
    </xf>
    <xf numFmtId="0" fontId="0" fillId="0" borderId="0" xfId="0" applyFill="1" applyBorder="1" applyAlignment="1">
      <alignment horizontal="left" indent="1"/>
    </xf>
    <xf numFmtId="0" fontId="47" fillId="0" borderId="0" xfId="0" applyFont="1" applyFill="1" applyBorder="1" applyAlignment="1">
      <alignment horizontal="left" vertical="center" indent="1"/>
    </xf>
    <xf numFmtId="0" fontId="61" fillId="0" borderId="0" xfId="0" applyFont="1" applyFill="1" applyBorder="1" applyAlignment="1">
      <alignment horizontal="left" indent="1"/>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60" fillId="0" borderId="0" xfId="0" applyFont="1" applyFill="1" applyBorder="1" applyAlignment="1" applyProtection="1">
      <alignment horizontal="center"/>
      <protection locked="0"/>
    </xf>
    <xf numFmtId="0" fontId="60" fillId="0" borderId="0" xfId="0" applyFont="1" applyFill="1" applyBorder="1" applyAlignment="1">
      <alignment horizontal="center"/>
    </xf>
    <xf numFmtId="167" fontId="0" fillId="0" borderId="0" xfId="0" applyNumberFormat="1" applyFill="1" applyBorder="1" applyAlignment="1">
      <alignment horizontal="center"/>
    </xf>
    <xf numFmtId="0" fontId="60" fillId="0" borderId="0" xfId="0" applyFont="1" applyFill="1" applyBorder="1" applyAlignment="1" applyProtection="1">
      <alignment horizontal="left" indent="1"/>
      <protection locked="0"/>
    </xf>
    <xf numFmtId="0" fontId="0" fillId="0" borderId="0" xfId="0" applyFill="1" applyBorder="1" applyAlignment="1">
      <alignment horizontal="right" indent="1"/>
    </xf>
    <xf numFmtId="0" fontId="58" fillId="0" borderId="0" xfId="0" applyFont="1" applyFill="1" applyBorder="1" applyAlignment="1">
      <alignment horizontal="right" vertical="center" indent="1"/>
    </xf>
    <xf numFmtId="0" fontId="58" fillId="0" borderId="0" xfId="0" applyFont="1" applyFill="1" applyBorder="1" applyAlignment="1">
      <alignment horizontal="center" vertical="center"/>
    </xf>
    <xf numFmtId="0" fontId="58" fillId="10" borderId="402" xfId="0" applyFont="1" applyFill="1" applyBorder="1" applyAlignment="1" applyProtection="1">
      <alignment horizontal="center" vertical="center"/>
      <protection locked="0"/>
    </xf>
    <xf numFmtId="0" fontId="0" fillId="0" borderId="403" xfId="0" applyBorder="1" applyAlignment="1">
      <alignment horizontal="center" vertical="center" textRotation="90"/>
    </xf>
    <xf numFmtId="0" fontId="0" fillId="7" borderId="404" xfId="0" applyFill="1" applyBorder="1" applyAlignment="1">
      <alignment horizontal="left" indent="1"/>
    </xf>
    <xf numFmtId="0" fontId="0" fillId="11" borderId="405" xfId="0" applyFill="1" applyBorder="1" applyAlignment="1">
      <alignment horizontal="center"/>
    </xf>
    <xf numFmtId="0" fontId="0" fillId="11" borderId="406" xfId="0" applyFill="1" applyBorder="1" applyAlignment="1">
      <alignment horizontal="center"/>
    </xf>
    <xf numFmtId="0" fontId="0" fillId="11" borderId="407" xfId="0" applyFill="1" applyBorder="1" applyAlignment="1">
      <alignment horizontal="center"/>
    </xf>
    <xf numFmtId="0" fontId="0" fillId="0" borderId="408" xfId="0" applyBorder="1" applyAlignment="1">
      <alignment horizontal="center"/>
    </xf>
    <xf numFmtId="0" fontId="60" fillId="11" borderId="0" xfId="0" applyFont="1" applyFill="1" applyBorder="1" applyAlignment="1">
      <alignment horizontal="center"/>
    </xf>
    <xf numFmtId="0" fontId="0" fillId="11" borderId="0" xfId="0" applyFill="1" applyBorder="1" applyAlignment="1">
      <alignment horizontal="center"/>
    </xf>
    <xf numFmtId="167" fontId="0" fillId="11" borderId="0" xfId="0" applyNumberFormat="1" applyFill="1" applyBorder="1" applyAlignment="1">
      <alignment horizontal="center"/>
    </xf>
    <xf numFmtId="167" fontId="0" fillId="11" borderId="404" xfId="0" applyNumberFormat="1" applyFill="1" applyBorder="1" applyAlignment="1">
      <alignment horizontal="center"/>
    </xf>
    <xf numFmtId="167" fontId="0" fillId="11" borderId="409" xfId="0" applyNumberFormat="1" applyFill="1" applyBorder="1" applyAlignment="1">
      <alignment horizontal="center"/>
    </xf>
    <xf numFmtId="0" fontId="0" fillId="0" borderId="410" xfId="0" applyBorder="1" applyAlignment="1">
      <alignment horizontal="center"/>
    </xf>
    <xf numFmtId="0" fontId="58" fillId="0" borderId="411" xfId="0" applyFont="1" applyBorder="1" applyAlignment="1">
      <alignment horizontal="center" vertical="center"/>
    </xf>
  </cellXfs>
  <cellStyles count="4">
    <cellStyle name="Berechnung 2" xfId="3" xr:uid="{DE200129-B758-4B3E-934A-ACECA7D60EBB}"/>
    <cellStyle name="Hyperlink" xfId="1" builtinId="8"/>
    <cellStyle name="Standaard"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38</xdr:col>
      <xdr:colOff>206375</xdr:colOff>
      <xdr:row>5</xdr:row>
      <xdr:rowOff>20639</xdr:rowOff>
    </xdr:from>
    <xdr:to>
      <xdr:col>41</xdr:col>
      <xdr:colOff>544512</xdr:colOff>
      <xdr:row>28</xdr:row>
      <xdr:rowOff>26180</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09875" y="1465264"/>
          <a:ext cx="2576512" cy="4228291"/>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80" zoomScaleNormal="80" workbookViewId="0">
      <selection activeCell="AC90" sqref="AC90"/>
    </sheetView>
  </sheetViews>
  <sheetFormatPr defaultColWidth="0" defaultRowHeight="14.5" zeroHeight="1"/>
  <cols>
    <col min="1" max="1" width="3.1796875" customWidth="1"/>
    <col min="2" max="3" width="13.1796875" customWidth="1"/>
    <col min="4" max="4" width="5.7265625" customWidth="1"/>
    <col min="5" max="6" width="13.1796875" customWidth="1"/>
    <col min="7" max="7" width="5.7265625" customWidth="1"/>
    <col min="8" max="9" width="13.1796875" customWidth="1"/>
    <col min="10" max="10" width="5.7265625" customWidth="1"/>
    <col min="11" max="12" width="13.1796875" customWidth="1"/>
    <col min="13" max="13" width="5.7265625" customWidth="1"/>
    <col min="14" max="15" width="13.1796875" customWidth="1"/>
    <col min="16" max="16" width="5.7265625" customWidth="1"/>
    <col min="17" max="18" width="13.1796875" customWidth="1"/>
    <col min="19" max="19" width="5.7265625" customWidth="1"/>
    <col min="20" max="21" width="13.1796875" customWidth="1"/>
    <col min="22" max="22" width="5.7265625" customWidth="1"/>
    <col min="23" max="24" width="13.1796875" customWidth="1"/>
    <col min="25" max="25" width="5.7265625" customWidth="1"/>
    <col min="26" max="27" width="13.1796875" customWidth="1"/>
    <col min="28" max="28" width="5.7265625" customWidth="1"/>
    <col min="29" max="30" width="13.1796875" customWidth="1"/>
    <col min="31" max="31" width="5.7265625" customWidth="1"/>
    <col min="32" max="33" width="13.1796875" customWidth="1"/>
    <col min="34" max="34" width="5.7265625" customWidth="1"/>
    <col min="35" max="36" width="13.1796875" customWidth="1"/>
    <col min="37" max="37" width="5.7265625" customWidth="1"/>
    <col min="38" max="39" width="13.1796875" customWidth="1"/>
    <col min="40" max="40" width="5.7265625" customWidth="1"/>
    <col min="41" max="42" width="13.1796875" customWidth="1"/>
    <col min="43" max="43" width="5.7265625" customWidth="1"/>
    <col min="44" max="45" width="13.1796875" customWidth="1"/>
    <col min="46" max="46" width="5.7265625" customWidth="1"/>
    <col min="47" max="48" width="13.1796875" customWidth="1"/>
    <col min="49" max="49" width="5.7265625" customWidth="1"/>
    <col min="50" max="50" width="2" customWidth="1"/>
    <col min="51" max="16384" width="11.453125" hidden="1"/>
  </cols>
  <sheetData>
    <row r="1" spans="1:52" ht="55.5" customHeight="1">
      <c r="C1" s="835"/>
      <c r="D1" s="835"/>
      <c r="E1" s="834" t="str">
        <f>Language!$E$121</f>
        <v>WK voetbal 2026 - Canada/Mexico/VS</v>
      </c>
      <c r="F1" s="834"/>
      <c r="G1" s="834"/>
      <c r="H1" s="834"/>
      <c r="I1" s="834"/>
      <c r="J1" s="834"/>
      <c r="K1" s="834"/>
      <c r="L1" s="834"/>
      <c r="M1" s="834"/>
      <c r="N1" s="834"/>
      <c r="O1" s="834"/>
      <c r="P1" s="834"/>
      <c r="Q1" s="834"/>
      <c r="R1" s="834"/>
      <c r="S1" s="834"/>
      <c r="T1" s="834"/>
      <c r="U1" s="834"/>
      <c r="V1" s="545"/>
      <c r="W1" s="545"/>
      <c r="X1" s="331"/>
      <c r="Y1" s="20"/>
      <c r="AJ1" s="331"/>
      <c r="AV1" s="331">
        <f>X1</f>
        <v>0</v>
      </c>
    </row>
    <row r="2" spans="1:52" s="325" customFormat="1" ht="15" customHeight="1">
      <c r="B2" s="323"/>
      <c r="C2" s="51" t="str">
        <f>Language!$E$134</f>
        <v xml:space="preserve">  Ptn.     Doelp.</v>
      </c>
      <c r="D2" s="326"/>
      <c r="E2" s="323"/>
      <c r="F2" s="51" t="str">
        <f>Language!$E$134</f>
        <v xml:space="preserve">  Ptn.     Doelp.</v>
      </c>
      <c r="G2" s="326"/>
      <c r="H2" s="323"/>
      <c r="I2" s="51" t="str">
        <f>Language!$E$134</f>
        <v xml:space="preserve">  Ptn.     Doelp.</v>
      </c>
      <c r="J2" s="326"/>
      <c r="K2" s="324"/>
      <c r="L2" s="51" t="str">
        <f>Language!$E$134</f>
        <v xml:space="preserve">  Ptn.     Doelp.</v>
      </c>
      <c r="M2" s="326"/>
      <c r="N2" s="323"/>
      <c r="O2" s="51" t="str">
        <f>Language!$E$134</f>
        <v xml:space="preserve">  Ptn.     Doelp.</v>
      </c>
      <c r="P2" s="326"/>
      <c r="Q2" s="323"/>
      <c r="R2" s="51" t="str">
        <f>Language!$E$134</f>
        <v xml:space="preserve">  Ptn.     Doelp.</v>
      </c>
      <c r="S2" s="326"/>
      <c r="T2" s="323"/>
      <c r="U2" s="51" t="str">
        <f>Language!$E$134</f>
        <v xml:space="preserve">  Ptn.     Doelp.</v>
      </c>
      <c r="V2" s="326"/>
      <c r="W2" s="323"/>
      <c r="X2" s="51" t="str">
        <f>Language!$E$134</f>
        <v xml:space="preserve">  Ptn.     Doelp.</v>
      </c>
      <c r="Z2" s="323"/>
      <c r="AA2" s="51" t="str">
        <f>Language!$E$134</f>
        <v xml:space="preserve">  Ptn.     Doelp.</v>
      </c>
      <c r="AB2" s="326"/>
      <c r="AC2" s="323"/>
      <c r="AD2" s="51" t="str">
        <f>Language!$E$134</f>
        <v xml:space="preserve">  Ptn.     Doelp.</v>
      </c>
      <c r="AE2" s="326"/>
      <c r="AF2" s="323"/>
      <c r="AG2" s="51" t="str">
        <f>Language!$E$134</f>
        <v xml:space="preserve">  Ptn.     Doelp.</v>
      </c>
      <c r="AH2" s="326"/>
      <c r="AI2" s="324"/>
      <c r="AJ2" s="51" t="str">
        <f>Language!$E$134</f>
        <v xml:space="preserve">  Ptn.     Doelp.</v>
      </c>
      <c r="AK2" s="326"/>
      <c r="AL2" s="361"/>
      <c r="AM2" s="361"/>
      <c r="AN2" s="361"/>
      <c r="AO2" s="361"/>
      <c r="AP2" s="361"/>
      <c r="AQ2" s="361"/>
      <c r="AR2" s="361"/>
      <c r="AS2" s="361"/>
      <c r="AT2" s="361"/>
      <c r="AU2" s="361"/>
      <c r="AV2" s="361"/>
    </row>
    <row r="3" spans="1:52">
      <c r="A3" s="4"/>
      <c r="B3" s="333" t="str">
        <f>CalcA!$D22</f>
        <v>Mexico</v>
      </c>
      <c r="C3" s="334" t="str">
        <f>"   "&amp;CalcA!$E22&amp;"        "&amp;CalcA!$F22&amp;Language!$E$197&amp;CalcA!$G22</f>
        <v xml:space="preserve">   0        0 : 0</v>
      </c>
      <c r="D3" s="68"/>
      <c r="E3" s="333" t="str">
        <f>CalcB!$D22</f>
        <v>Canada</v>
      </c>
      <c r="F3" s="334" t="str">
        <f>"   "&amp;CalcB!$E22&amp;"        "&amp;CalcB!$F22&amp;Language!$E$197&amp;CalcB!$G22</f>
        <v xml:space="preserve">   0        0 : 0</v>
      </c>
      <c r="G3" s="68"/>
      <c r="H3" s="333" t="str">
        <f>CalcC!$D22</f>
        <v>Brazilië</v>
      </c>
      <c r="I3" s="334" t="str">
        <f>"   "&amp;CalcC!$E22&amp;"        "&amp;CalcC!$F22&amp;Language!$E$197&amp;CalcC!$G22</f>
        <v xml:space="preserve">   0        0 : 0</v>
      </c>
      <c r="J3" s="4"/>
      <c r="K3" s="333" t="str">
        <f>CalcD!$D22</f>
        <v>USA</v>
      </c>
      <c r="L3" s="334" t="str">
        <f>"   "&amp;CalcD!$E22&amp;"        "&amp;CalcD!$F22&amp;Language!$E$197&amp;CalcD!$G22</f>
        <v xml:space="preserve">   0        0 : 0</v>
      </c>
      <c r="M3" s="4"/>
      <c r="N3" s="333" t="str">
        <f>CalcE!$D22</f>
        <v>Duitsland</v>
      </c>
      <c r="O3" s="334" t="str">
        <f>"   "&amp;CalcE!$E22&amp;"        "&amp;CalcE!$F22&amp;Language!$E$197&amp;CalcE!$G22</f>
        <v xml:space="preserve">   0        0 : 0</v>
      </c>
      <c r="P3" s="68"/>
      <c r="Q3" s="333" t="str">
        <f>CalcF!$D22</f>
        <v>Nederland</v>
      </c>
      <c r="R3" s="334" t="str">
        <f>"   "&amp;CalcF!$E22&amp;"        "&amp;CalcF!$F22&amp;Language!$E$197&amp;CalcF!$G22</f>
        <v xml:space="preserve">   0        0 : 0</v>
      </c>
      <c r="S3" s="4"/>
      <c r="T3" s="333" t="str">
        <f>CalcG!$D22</f>
        <v>België</v>
      </c>
      <c r="U3" s="334" t="str">
        <f>"   "&amp;CalcG!$E22&amp;"        "&amp;CalcG!$F22&amp;Language!$E$197&amp;CalcG!$G22</f>
        <v xml:space="preserve">   0        0 : 0</v>
      </c>
      <c r="V3" s="68"/>
      <c r="W3" s="333" t="str">
        <f>CalcH!$D22</f>
        <v>Spanje</v>
      </c>
      <c r="X3" s="334" t="str">
        <f>"   "&amp;CalcH!$E22&amp;"        "&amp;CalcH!$F22&amp;Language!$E$197&amp;CalcH!$G22</f>
        <v xml:space="preserve">   0        0 : 0</v>
      </c>
      <c r="Y3" s="4"/>
      <c r="Z3" s="333" t="str">
        <f>CalcI!$D22</f>
        <v>Frankrijk</v>
      </c>
      <c r="AA3" s="334" t="str">
        <f>"   "&amp;CalcI!$E22&amp;"        "&amp;CalcI!$F22&amp;Language!$E$197&amp;CalcI!$G22</f>
        <v xml:space="preserve">   0        0 : 0</v>
      </c>
      <c r="AB3" s="68"/>
      <c r="AC3" s="333" t="str">
        <f>CalcJ!$D22</f>
        <v>Argentinië</v>
      </c>
      <c r="AD3" s="334" t="str">
        <f>"   "&amp;CalcJ!$E22&amp;"        "&amp;CalcJ!$F22&amp;Language!$E$197&amp;CalcJ!$G22</f>
        <v xml:space="preserve">   0        0 : 0</v>
      </c>
      <c r="AE3" s="68"/>
      <c r="AF3" s="333" t="str">
        <f>CalcK!$D22</f>
        <v>Portugal</v>
      </c>
      <c r="AG3" s="334" t="str">
        <f>"   "&amp;CalcK!$E22&amp;"        "&amp;CalcK!$F22&amp;Language!$E$197&amp;CalcK!$G22</f>
        <v xml:space="preserve">   0        0 : 0</v>
      </c>
      <c r="AH3" s="4"/>
      <c r="AI3" s="333" t="str">
        <f>CalcL!$D22</f>
        <v>Engeland</v>
      </c>
      <c r="AJ3" s="334" t="str">
        <f>"   "&amp;CalcL!$E22&amp;"        "&amp;CalcL!$F22&amp;Language!$E$197&amp;CalcL!$G22</f>
        <v xml:space="preserve">   0        0 : 0</v>
      </c>
      <c r="AK3" s="4"/>
      <c r="AL3" s="777"/>
      <c r="AM3" s="361"/>
      <c r="AN3" s="361"/>
      <c r="AO3" s="361"/>
      <c r="AP3" s="361"/>
      <c r="AQ3" s="361"/>
      <c r="AR3" s="361"/>
      <c r="AS3" s="361"/>
      <c r="AT3" s="361"/>
      <c r="AU3" s="361"/>
      <c r="AV3" s="361"/>
      <c r="AZ3" s="325"/>
    </row>
    <row r="4" spans="1:52">
      <c r="A4" s="4"/>
      <c r="B4" s="335" t="str">
        <f>CalcA!$D23</f>
        <v>Zuid-Afrika</v>
      </c>
      <c r="C4" s="336" t="str">
        <f>"   "&amp;CalcA!$E23&amp;"        "&amp;CalcA!$F23&amp;Language!$E$197&amp;CalcA!$G23</f>
        <v xml:space="preserve">   0        0 : 0</v>
      </c>
      <c r="D4" s="68"/>
      <c r="E4" s="335" t="str">
        <f>CalcB!$D23</f>
        <v>Bosnië/Herzeg.</v>
      </c>
      <c r="F4" s="336" t="str">
        <f>"   "&amp;CalcB!$E23&amp;"        "&amp;CalcB!$F23&amp;Language!$E$197&amp;CalcB!$G23</f>
        <v xml:space="preserve">   0        0 : 0</v>
      </c>
      <c r="G4" s="68"/>
      <c r="H4" s="335" t="str">
        <f>CalcC!$D23</f>
        <v>Marokko</v>
      </c>
      <c r="I4" s="336" t="str">
        <f>"   "&amp;CalcC!$E23&amp;"        "&amp;CalcC!$F23&amp;Language!$E$197&amp;CalcC!$G23</f>
        <v xml:space="preserve">   0        0 : 0</v>
      </c>
      <c r="J4" s="4"/>
      <c r="K4" s="335" t="str">
        <f>CalcD!$D23</f>
        <v>Paraguay</v>
      </c>
      <c r="L4" s="336" t="str">
        <f>"   "&amp;CalcD!$E23&amp;"        "&amp;CalcD!$F23&amp;Language!$E$197&amp;CalcD!$G23</f>
        <v xml:space="preserve">   0        0 : 0</v>
      </c>
      <c r="M4" s="4"/>
      <c r="N4" s="335" t="str">
        <f>CalcE!$D23</f>
        <v>Curacao</v>
      </c>
      <c r="O4" s="336" t="str">
        <f>"   "&amp;CalcE!$E23&amp;"        "&amp;CalcE!$F23&amp;Language!$E$197&amp;CalcE!$G23</f>
        <v xml:space="preserve">   0        0 : 0</v>
      </c>
      <c r="P4" s="68"/>
      <c r="Q4" s="335" t="str">
        <f>CalcF!$D23</f>
        <v>Japan</v>
      </c>
      <c r="R4" s="336" t="str">
        <f>"   "&amp;CalcF!$E23&amp;"        "&amp;CalcF!$F23&amp;Language!$E$197&amp;CalcF!$G23</f>
        <v xml:space="preserve">   0        0 : 0</v>
      </c>
      <c r="S4" s="4"/>
      <c r="T4" s="335" t="str">
        <f>CalcG!$D23</f>
        <v>Egypte</v>
      </c>
      <c r="U4" s="336" t="str">
        <f>"   "&amp;CalcG!$E23&amp;"        "&amp;CalcG!$F23&amp;Language!$E$197&amp;CalcG!$G23</f>
        <v xml:space="preserve">   0        0 : 0</v>
      </c>
      <c r="V4" s="68"/>
      <c r="W4" s="335" t="str">
        <f>CalcH!$D23</f>
        <v>Kaapverdië</v>
      </c>
      <c r="X4" s="336" t="str">
        <f>"   "&amp;CalcH!$E23&amp;"        "&amp;CalcH!$F23&amp;Language!$E$197&amp;CalcH!$G23</f>
        <v xml:space="preserve">   0        0 : 0</v>
      </c>
      <c r="Y4" s="4"/>
      <c r="Z4" s="335" t="str">
        <f>CalcI!$D23</f>
        <v>Senegal</v>
      </c>
      <c r="AA4" s="336" t="str">
        <f>"   "&amp;CalcI!$E23&amp;"        "&amp;CalcI!$F23&amp;Language!$E$197&amp;CalcI!$G23</f>
        <v xml:space="preserve">   0        0 : 0</v>
      </c>
      <c r="AB4" s="68"/>
      <c r="AC4" s="335" t="str">
        <f>CalcJ!$D23</f>
        <v>Algerije</v>
      </c>
      <c r="AD4" s="336" t="str">
        <f>"   "&amp;CalcJ!$E23&amp;"        "&amp;CalcJ!$F23&amp;Language!$E$197&amp;CalcJ!$G23</f>
        <v xml:space="preserve">   0        0 : 0</v>
      </c>
      <c r="AE4" s="68"/>
      <c r="AF4" s="335" t="str">
        <f>CalcK!$D23</f>
        <v>DR Congo</v>
      </c>
      <c r="AG4" s="336" t="str">
        <f>"   "&amp;CalcK!$E23&amp;"        "&amp;CalcK!$F23&amp;Language!$E$197&amp;CalcK!$G23</f>
        <v xml:space="preserve">   0        0 : 0</v>
      </c>
      <c r="AH4" s="4"/>
      <c r="AI4" s="335" t="str">
        <f>CalcL!$D23</f>
        <v>Kroatië</v>
      </c>
      <c r="AJ4" s="336" t="str">
        <f>"   "&amp;CalcL!$E23&amp;"        "&amp;CalcL!$F23&amp;Language!$E$197&amp;CalcL!$G23</f>
        <v xml:space="preserve">   0        0 : 0</v>
      </c>
      <c r="AK4" s="4"/>
      <c r="AL4" s="778"/>
      <c r="AM4" s="361"/>
      <c r="AN4" s="361"/>
      <c r="AO4" s="361"/>
      <c r="AP4" s="361"/>
      <c r="AQ4" s="361"/>
      <c r="AR4" s="361"/>
      <c r="AS4" s="361"/>
      <c r="AT4" s="361"/>
      <c r="AU4" s="361"/>
      <c r="AV4" s="361"/>
      <c r="AZ4" s="325"/>
    </row>
    <row r="5" spans="1:52">
      <c r="A5" s="4"/>
      <c r="B5" s="368" t="str">
        <f>CalcA!$D24</f>
        <v>Rep. Korea</v>
      </c>
      <c r="C5" s="369" t="str">
        <f>"   "&amp;CalcA!$E24&amp;"        "&amp;CalcA!$F24&amp;Language!$E$197&amp;CalcA!$G24</f>
        <v xml:space="preserve">   0        0 : 0</v>
      </c>
      <c r="D5" s="68"/>
      <c r="E5" s="368" t="str">
        <f>CalcB!$D24</f>
        <v>Qatar</v>
      </c>
      <c r="F5" s="369" t="str">
        <f>"   "&amp;CalcB!$E24&amp;"        "&amp;CalcB!$F24&amp;Language!$E$197&amp;CalcB!$G24</f>
        <v xml:space="preserve">   0        0 : 0</v>
      </c>
      <c r="G5" s="68"/>
      <c r="H5" s="368" t="str">
        <f>CalcC!$D24</f>
        <v>Haïti</v>
      </c>
      <c r="I5" s="369" t="str">
        <f>"   "&amp;CalcC!$E24&amp;"        "&amp;CalcC!$F24&amp;Language!$E$197&amp;CalcC!$G24</f>
        <v xml:space="preserve">   0        0 : 0</v>
      </c>
      <c r="J5" s="4"/>
      <c r="K5" s="368" t="str">
        <f>CalcD!$D24</f>
        <v>Australië</v>
      </c>
      <c r="L5" s="369" t="str">
        <f>"   "&amp;CalcD!$E24&amp;"        "&amp;CalcD!$F24&amp;Language!$E$197&amp;CalcD!$G24</f>
        <v xml:space="preserve">   0        0 : 0</v>
      </c>
      <c r="M5" s="4"/>
      <c r="N5" s="368" t="str">
        <f>CalcE!$D24</f>
        <v>Ivoorkust</v>
      </c>
      <c r="O5" s="369" t="str">
        <f>"   "&amp;CalcE!$E24&amp;"        "&amp;CalcE!$F24&amp;Language!$E$197&amp;CalcE!$G24</f>
        <v xml:space="preserve">   0        0 : 0</v>
      </c>
      <c r="P5" s="68"/>
      <c r="Q5" s="368" t="str">
        <f>CalcF!$D24</f>
        <v>Zweden</v>
      </c>
      <c r="R5" s="369" t="str">
        <f>"   "&amp;CalcF!$E24&amp;"        "&amp;CalcF!$F24&amp;Language!$E$197&amp;CalcF!$G24</f>
        <v xml:space="preserve">   0        0 : 0</v>
      </c>
      <c r="S5" s="4"/>
      <c r="T5" s="368" t="str">
        <f>CalcG!$D24</f>
        <v>IR Iran</v>
      </c>
      <c r="U5" s="369" t="str">
        <f>"   "&amp;CalcG!$E24&amp;"        "&amp;CalcG!$F24&amp;Language!$E$197&amp;CalcG!$G24</f>
        <v xml:space="preserve">   0        0 : 0</v>
      </c>
      <c r="V5" s="68"/>
      <c r="W5" s="368" t="str">
        <f>CalcH!$D24</f>
        <v>Saoedi-Arabië</v>
      </c>
      <c r="X5" s="369" t="str">
        <f>"   "&amp;CalcH!$E24&amp;"        "&amp;CalcH!$F24&amp;Language!$E$197&amp;CalcH!$G24</f>
        <v xml:space="preserve">   0        0 : 0</v>
      </c>
      <c r="Y5" s="4"/>
      <c r="Z5" s="368" t="str">
        <f>CalcI!$D24</f>
        <v>Irak</v>
      </c>
      <c r="AA5" s="369" t="str">
        <f>"   "&amp;CalcI!$E24&amp;"        "&amp;CalcI!$F24&amp;Language!$E$197&amp;CalcI!$G24</f>
        <v xml:space="preserve">   0        0 : 0</v>
      </c>
      <c r="AB5" s="68"/>
      <c r="AC5" s="368" t="str">
        <f>CalcJ!$D24</f>
        <v>Oostenrijk</v>
      </c>
      <c r="AD5" s="369" t="str">
        <f>"   "&amp;CalcJ!$E24&amp;"        "&amp;CalcJ!$F24&amp;Language!$E$197&amp;CalcJ!$G24</f>
        <v xml:space="preserve">   0        0 : 0</v>
      </c>
      <c r="AE5" s="68"/>
      <c r="AF5" s="368" t="str">
        <f>CalcK!$D24</f>
        <v>Oezbekistan</v>
      </c>
      <c r="AG5" s="369" t="str">
        <f>"   "&amp;CalcK!$E24&amp;"        "&amp;CalcK!$F24&amp;Language!$E$197&amp;CalcK!$G24</f>
        <v xml:space="preserve">   0        0 : 0</v>
      </c>
      <c r="AH5" s="4"/>
      <c r="AI5" s="368" t="str">
        <f>CalcL!$D24</f>
        <v>Ghana</v>
      </c>
      <c r="AJ5" s="369" t="str">
        <f>"   "&amp;CalcL!$E24&amp;"        "&amp;CalcL!$F24&amp;Language!$E$197&amp;CalcL!$G24</f>
        <v xml:space="preserve">   0        0 : 0</v>
      </c>
      <c r="AK5" s="4"/>
      <c r="AL5" s="778"/>
      <c r="AM5" s="361"/>
      <c r="AN5" s="361"/>
      <c r="AO5" s="361"/>
      <c r="AP5" s="361"/>
      <c r="AQ5" s="361"/>
      <c r="AR5" s="361"/>
      <c r="AS5" s="361"/>
      <c r="AT5" s="361"/>
      <c r="AU5" s="361"/>
      <c r="AV5" s="361"/>
      <c r="AZ5" s="325"/>
    </row>
    <row r="6" spans="1:52">
      <c r="A6" s="4"/>
      <c r="B6" s="75" t="str">
        <f>CalcA!$D25</f>
        <v>Tsjechië</v>
      </c>
      <c r="C6" s="322" t="str">
        <f>"   "&amp;CalcA!$E25&amp;"        "&amp;CalcA!$F25&amp;Language!$E$197&amp;CalcA!$G25</f>
        <v xml:space="preserve">   0        0 : 0</v>
      </c>
      <c r="D6" s="68"/>
      <c r="E6" s="75" t="str">
        <f>CalcB!$D25</f>
        <v>Zwitserland</v>
      </c>
      <c r="F6" s="322" t="str">
        <f>"   "&amp;CalcB!$E25&amp;"        "&amp;CalcB!$F25&amp;Language!$E$197&amp;CalcB!$G25</f>
        <v xml:space="preserve">   0        0 : 0</v>
      </c>
      <c r="G6" s="68"/>
      <c r="H6" s="75" t="str">
        <f>CalcC!$D25</f>
        <v>Schotland</v>
      </c>
      <c r="I6" s="322" t="str">
        <f>"   "&amp;CalcC!$E25&amp;"        "&amp;CalcC!$F25&amp;Language!$E$197&amp;CalcC!$G25</f>
        <v xml:space="preserve">   0        0 : 0</v>
      </c>
      <c r="J6" s="4"/>
      <c r="K6" s="75" t="str">
        <f>CalcD!$D25</f>
        <v>Turkije</v>
      </c>
      <c r="L6" s="322" t="str">
        <f>"   "&amp;CalcD!$E25&amp;"        "&amp;CalcD!$F25&amp;Language!$E$197&amp;CalcD!$G25</f>
        <v xml:space="preserve">   0        0 : 0</v>
      </c>
      <c r="M6" s="4"/>
      <c r="N6" s="75" t="str">
        <f>CalcE!$D25</f>
        <v>Ecuador</v>
      </c>
      <c r="O6" s="322" t="str">
        <f>"   "&amp;CalcE!$E25&amp;"        "&amp;CalcE!$F25&amp;Language!$E$197&amp;CalcE!$G25</f>
        <v xml:space="preserve">   0        0 : 0</v>
      </c>
      <c r="P6" s="68"/>
      <c r="Q6" s="75" t="str">
        <f>CalcF!$D25</f>
        <v>Tunesië</v>
      </c>
      <c r="R6" s="322" t="str">
        <f>"   "&amp;CalcF!$E25&amp;"        "&amp;CalcF!$F25&amp;Language!$E$197&amp;CalcF!$G25</f>
        <v xml:space="preserve">   0        0 : 0</v>
      </c>
      <c r="S6" s="4"/>
      <c r="T6" s="75" t="str">
        <f>CalcG!$D25</f>
        <v>Nieuw-Zeeland</v>
      </c>
      <c r="U6" s="322" t="str">
        <f>"   "&amp;CalcG!$E25&amp;"        "&amp;CalcG!$F25&amp;Language!$E$197&amp;CalcG!$G25</f>
        <v xml:space="preserve">   0        0 : 0</v>
      </c>
      <c r="V6" s="68"/>
      <c r="W6" s="75" t="str">
        <f>CalcH!$D25</f>
        <v>Uruguay</v>
      </c>
      <c r="X6" s="322" t="str">
        <f>"   "&amp;CalcH!$E25&amp;"        "&amp;CalcH!$F25&amp;Language!$E$197&amp;CalcH!$G25</f>
        <v xml:space="preserve">   0        0 : 0</v>
      </c>
      <c r="Y6" s="4"/>
      <c r="Z6" s="75" t="str">
        <f>CalcI!$D25</f>
        <v>Noorwegen</v>
      </c>
      <c r="AA6" s="322" t="str">
        <f>"   "&amp;CalcI!$E25&amp;"        "&amp;CalcI!$F25&amp;Language!$E$197&amp;CalcI!$G25</f>
        <v xml:space="preserve">   0        0 : 0</v>
      </c>
      <c r="AB6" s="68"/>
      <c r="AC6" s="75" t="str">
        <f>CalcJ!$D25</f>
        <v>Jordanië</v>
      </c>
      <c r="AD6" s="322" t="str">
        <f>"   "&amp;CalcJ!$E25&amp;"        "&amp;CalcJ!$F25&amp;Language!$E$197&amp;CalcJ!$G25</f>
        <v xml:space="preserve">   0        0 : 0</v>
      </c>
      <c r="AE6" s="68"/>
      <c r="AF6" s="75" t="str">
        <f>CalcK!$D25</f>
        <v>Colombia</v>
      </c>
      <c r="AG6" s="322" t="str">
        <f>"   "&amp;CalcK!$E25&amp;"        "&amp;CalcK!$F25&amp;Language!$E$197&amp;CalcK!$G25</f>
        <v xml:space="preserve">   0        0 : 0</v>
      </c>
      <c r="AH6" s="4"/>
      <c r="AI6" s="75" t="str">
        <f>CalcL!$D25</f>
        <v>Panama</v>
      </c>
      <c r="AJ6" s="322" t="str">
        <f>"   "&amp;CalcL!$E25&amp;"        "&amp;CalcL!$F25&amp;Language!$E$197&amp;CalcL!$G25</f>
        <v xml:space="preserve">   0        0 : 0</v>
      </c>
      <c r="AK6" s="4"/>
      <c r="AL6" s="778"/>
      <c r="AM6" s="361"/>
      <c r="AN6" s="361"/>
      <c r="AO6" s="361"/>
      <c r="AP6" s="361"/>
      <c r="AQ6" s="361"/>
      <c r="AR6" s="361"/>
      <c r="AS6" s="361"/>
      <c r="AT6" s="361"/>
      <c r="AU6" s="361"/>
      <c r="AV6" s="361"/>
    </row>
    <row r="7" spans="1:52" ht="13.5" customHeight="1">
      <c r="A7" s="4"/>
      <c r="B7" s="801" t="str">
        <f>IF(Distinctness!$G$17=0,"",IF(Distinctness!$D$4&gt;0,Distinctness!$J$4,Distinctness!$J$5))</f>
        <v/>
      </c>
      <c r="C7" s="801"/>
      <c r="D7" s="801"/>
      <c r="E7" s="801"/>
      <c r="F7" s="801"/>
      <c r="G7" s="801"/>
      <c r="H7" s="801"/>
      <c r="I7" s="801"/>
      <c r="J7" s="801"/>
      <c r="K7" s="801"/>
      <c r="L7" s="801"/>
      <c r="M7" s="801"/>
      <c r="N7" s="801"/>
      <c r="O7" s="801"/>
      <c r="P7" s="801"/>
      <c r="Q7" s="801"/>
      <c r="R7" s="801"/>
      <c r="S7" s="801"/>
      <c r="T7" s="801"/>
      <c r="U7" s="801"/>
      <c r="V7" s="801"/>
      <c r="W7" s="801"/>
      <c r="X7" s="801"/>
      <c r="Y7" s="4"/>
      <c r="Z7" s="801" t="str">
        <f>B7</f>
        <v/>
      </c>
      <c r="AA7" s="801"/>
      <c r="AB7" s="801"/>
      <c r="AC7" s="801"/>
      <c r="AD7" s="801"/>
      <c r="AE7" s="801"/>
      <c r="AF7" s="801"/>
      <c r="AG7" s="801"/>
      <c r="AH7" s="801"/>
      <c r="AI7" s="801"/>
      <c r="AJ7" s="801"/>
      <c r="AK7" s="362"/>
      <c r="AL7" s="362"/>
      <c r="AM7" s="362"/>
      <c r="AN7" s="362"/>
      <c r="AO7" s="362"/>
      <c r="AP7" s="362"/>
      <c r="AQ7" s="362"/>
      <c r="AR7" s="362"/>
      <c r="AS7" s="362"/>
      <c r="AT7" s="362"/>
      <c r="AU7" s="362"/>
      <c r="AV7" s="362"/>
      <c r="AZ7" t="str">
        <f>DailySchedule!$N7</f>
        <v>Engeland</v>
      </c>
    </row>
    <row r="8" spans="1:52" ht="11.25" customHeight="1">
      <c r="B8" s="812" t="str">
        <f>IF(CalcA!$AU$14,"•","")</f>
        <v/>
      </c>
      <c r="C8" s="812"/>
      <c r="D8" s="82"/>
      <c r="E8" s="812" t="str">
        <f>IF(CalcB!$AU$14,"•","")</f>
        <v/>
      </c>
      <c r="F8" s="812"/>
      <c r="G8" s="82"/>
      <c r="H8" s="812" t="str">
        <f>IF(CalcC!$AU$14,"•","")</f>
        <v/>
      </c>
      <c r="I8" s="812"/>
      <c r="J8" s="82"/>
      <c r="K8" s="812" t="str">
        <f>IF(CalcD!$AU$14,"•","")</f>
        <v/>
      </c>
      <c r="L8" s="812"/>
      <c r="M8" s="18"/>
      <c r="N8" s="812" t="str">
        <f>IF(CalcE!$AU$14,"•","")</f>
        <v/>
      </c>
      <c r="O8" s="812"/>
      <c r="P8" s="82"/>
      <c r="Q8" s="812" t="str">
        <f>IF(CalcF!$AU$14,"•","")</f>
        <v/>
      </c>
      <c r="R8" s="812"/>
      <c r="S8" s="83"/>
      <c r="T8" s="812" t="str">
        <f>IF(CalcG!$AU$14,"•","")</f>
        <v/>
      </c>
      <c r="U8" s="812"/>
      <c r="V8" s="82"/>
      <c r="W8" s="812" t="str">
        <f>IF(CalcH!$AU$14,"•","")</f>
        <v/>
      </c>
      <c r="X8" s="812"/>
      <c r="Z8" s="812" t="str">
        <f>IF(CalcI!$AU$14,"•","")</f>
        <v/>
      </c>
      <c r="AA8" s="812"/>
      <c r="AB8" s="82"/>
      <c r="AC8" s="812" t="str">
        <f>IF(CalcJ!$AU$14,"•","")</f>
        <v/>
      </c>
      <c r="AD8" s="812"/>
      <c r="AE8" s="82"/>
      <c r="AF8" s="812" t="str">
        <f>IF(CalcK!$AU$14,"•","")</f>
        <v/>
      </c>
      <c r="AG8" s="812"/>
      <c r="AH8" s="82"/>
      <c r="AI8" s="812" t="str">
        <f>IF(CalcL!$AU$14,"•","")</f>
        <v/>
      </c>
      <c r="AJ8" s="812"/>
      <c r="AK8" s="18"/>
      <c r="AL8" s="366"/>
      <c r="AM8" s="366"/>
      <c r="AN8" s="82"/>
      <c r="AO8" s="366"/>
      <c r="AP8" s="366"/>
      <c r="AQ8" s="83"/>
      <c r="AR8" s="366"/>
      <c r="AS8" s="366"/>
      <c r="AT8" s="82"/>
      <c r="AU8" s="366"/>
      <c r="AV8" s="366"/>
      <c r="AZ8" t="str">
        <f>DailySchedule!$N8</f>
        <v>USA</v>
      </c>
    </row>
    <row r="9" spans="1:52" ht="18.5">
      <c r="B9" s="809" t="str">
        <f>Language!$E$130&amp;" A"</f>
        <v>Groep A</v>
      </c>
      <c r="C9" s="810"/>
      <c r="D9" s="5"/>
      <c r="E9" s="809" t="str">
        <f>Language!$E$130&amp;" B"</f>
        <v>Groep B</v>
      </c>
      <c r="F9" s="810"/>
      <c r="H9" s="809" t="str">
        <f>Language!$E$130&amp;" C"</f>
        <v>Groep C</v>
      </c>
      <c r="I9" s="810"/>
      <c r="K9" s="809" t="str">
        <f>Language!$E$130&amp;" D"</f>
        <v>Groep D</v>
      </c>
      <c r="L9" s="810"/>
      <c r="N9" s="809" t="str">
        <f>Language!$E$130&amp;" E"</f>
        <v>Groep E</v>
      </c>
      <c r="O9" s="810"/>
      <c r="Q9" s="809" t="str">
        <f>Language!$E$130&amp;" F"</f>
        <v>Groep F</v>
      </c>
      <c r="R9" s="810"/>
      <c r="T9" s="809" t="str">
        <f>Language!$E$130&amp;" G"</f>
        <v>Groep G</v>
      </c>
      <c r="U9" s="810"/>
      <c r="W9" s="809" t="str">
        <f>Language!$E$130&amp;" H"</f>
        <v>Groep H</v>
      </c>
      <c r="X9" s="810"/>
      <c r="Z9" s="809" t="str">
        <f>Language!$E$130&amp;" I"</f>
        <v>Groep I</v>
      </c>
      <c r="AA9" s="810"/>
      <c r="AB9" s="5"/>
      <c r="AC9" s="809" t="str">
        <f>Language!$E$130&amp;" J"</f>
        <v>Groep J</v>
      </c>
      <c r="AD9" s="810"/>
      <c r="AF9" s="809" t="str">
        <f>Language!$E$130&amp;" K"</f>
        <v>Groep K</v>
      </c>
      <c r="AG9" s="810"/>
      <c r="AI9" s="809" t="str">
        <f>Language!$E$130&amp;" L"</f>
        <v>Groep L</v>
      </c>
      <c r="AJ9" s="811"/>
      <c r="AL9" s="367"/>
      <c r="AM9" s="367"/>
      <c r="AO9" s="367"/>
      <c r="AP9" s="367"/>
      <c r="AR9" s="367"/>
      <c r="AS9" s="367"/>
      <c r="AU9" s="367"/>
      <c r="AV9" s="367"/>
      <c r="AZ9" t="str">
        <f>DailySchedule!$N9</f>
        <v>Canada</v>
      </c>
    </row>
    <row r="10" spans="1:52" ht="8.25" customHeight="1" thickBot="1">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Mexico</v>
      </c>
    </row>
    <row r="11" spans="1:52">
      <c r="A11" s="73">
        <v>1</v>
      </c>
      <c r="B11" s="799" t="str">
        <f>VLOOKUP(A11,Matches!$B$4:$K$113,7,0)</f>
        <v>Mexico City</v>
      </c>
      <c r="C11" s="800"/>
      <c r="D11" s="73">
        <v>3</v>
      </c>
      <c r="E11" s="799" t="str">
        <f>VLOOKUP(D11,Matches!$B$4:$K$113,7,0)</f>
        <v>Toronto</v>
      </c>
      <c r="F11" s="800"/>
      <c r="G11" s="73">
        <v>7</v>
      </c>
      <c r="H11" s="799" t="str">
        <f>VLOOKUP(G11,Matches!$B$4:$K$113,7,0)</f>
        <v>New York/New Jersey</v>
      </c>
      <c r="I11" s="800"/>
      <c r="J11" s="73">
        <v>4</v>
      </c>
      <c r="K11" s="799" t="str">
        <f>VLOOKUP(J11,Matches!$B$4:$K$113,7,0)</f>
        <v>Los Angeles</v>
      </c>
      <c r="L11" s="800"/>
      <c r="M11" s="73">
        <v>10</v>
      </c>
      <c r="N11" s="799" t="str">
        <f>VLOOKUP(M11,Matches!$B$4:$K$113,7,0)</f>
        <v>Houston</v>
      </c>
      <c r="O11" s="800"/>
      <c r="P11" s="73">
        <v>11</v>
      </c>
      <c r="Q11" s="799" t="str">
        <f>VLOOKUP(P11,Matches!$B$4:$K$113,7,0)</f>
        <v>Dallas</v>
      </c>
      <c r="R11" s="800"/>
      <c r="S11" s="73">
        <v>16</v>
      </c>
      <c r="T11" s="799" t="str">
        <f>VLOOKUP(S11,Matches!$B$4:$K$113,7,0)</f>
        <v>Seattle</v>
      </c>
      <c r="U11" s="800"/>
      <c r="V11" s="73">
        <v>14</v>
      </c>
      <c r="W11" s="799" t="str">
        <f>VLOOKUP(V11,Matches!$B$4:$K$113,7,0)</f>
        <v>Atlanta</v>
      </c>
      <c r="X11" s="800"/>
      <c r="Y11" s="73">
        <v>17</v>
      </c>
      <c r="Z11" s="799" t="str">
        <f>VLOOKUP(Y11,Matches!$B$4:$K$113,7,0)</f>
        <v>New York/New Jersey</v>
      </c>
      <c r="AA11" s="800"/>
      <c r="AB11" s="73">
        <v>19</v>
      </c>
      <c r="AC11" s="799" t="str">
        <f>VLOOKUP(AB11,Matches!$B$4:$K$113,7,0)</f>
        <v>Kansas City</v>
      </c>
      <c r="AD11" s="800"/>
      <c r="AE11" s="73">
        <v>23</v>
      </c>
      <c r="AF11" s="799" t="str">
        <f>VLOOKUP(AE11,Matches!$B$4:$K$113,7,0)</f>
        <v>Houston</v>
      </c>
      <c r="AG11" s="800"/>
      <c r="AH11" s="73">
        <v>22</v>
      </c>
      <c r="AI11" s="799" t="str">
        <f>VLOOKUP(AH11,Matches!$B$4:$K$113,7,0)</f>
        <v>Dallas</v>
      </c>
      <c r="AJ11" s="800"/>
      <c r="AK11" s="73"/>
      <c r="AN11" s="73"/>
      <c r="AQ11" s="73"/>
      <c r="AT11" s="73"/>
    </row>
    <row r="12" spans="1:52">
      <c r="B12" s="797">
        <f>VLOOKUP(A11,Matches!$B$4:$K$113,5,0)</f>
        <v>46184.875</v>
      </c>
      <c r="C12" s="798"/>
      <c r="E12" s="797">
        <f>VLOOKUP(D11,Matches!$B$4:$K$113,5,0)</f>
        <v>46185.875</v>
      </c>
      <c r="F12" s="798"/>
      <c r="H12" s="797">
        <f>VLOOKUP(G11,Matches!$B$4:$K$113,5,0)</f>
        <v>46187</v>
      </c>
      <c r="I12" s="798"/>
      <c r="K12" s="797">
        <f>VLOOKUP(J11,Matches!$B$4:$K$113,5,0)</f>
        <v>46186.125</v>
      </c>
      <c r="L12" s="798"/>
      <c r="N12" s="797">
        <f>VLOOKUP(M11,Matches!$B$4:$K$113,5,0)</f>
        <v>46187.791666666664</v>
      </c>
      <c r="O12" s="798"/>
      <c r="Q12" s="797">
        <f>VLOOKUP(P11,Matches!$B$4:$K$113,5,0)</f>
        <v>46187.916666666664</v>
      </c>
      <c r="R12" s="798"/>
      <c r="T12" s="797">
        <f>VLOOKUP(S11,Matches!$B$4:$K$113,5,0)</f>
        <v>46188.875</v>
      </c>
      <c r="U12" s="798"/>
      <c r="W12" s="797">
        <f>VLOOKUP(V11,Matches!$B$4:$K$113,5,0)</f>
        <v>46188.75</v>
      </c>
      <c r="X12" s="798"/>
      <c r="Z12" s="797">
        <f>VLOOKUP(Y11,Matches!$B$4:$K$113,5,0)</f>
        <v>46189.875</v>
      </c>
      <c r="AA12" s="798"/>
      <c r="AC12" s="797">
        <f>VLOOKUP(AB11,Matches!$B$4:$K$113,5,0)</f>
        <v>46190.125</v>
      </c>
      <c r="AD12" s="798"/>
      <c r="AF12" s="797">
        <f>VLOOKUP(AE11,Matches!$B$4:$K$113,5,0)</f>
        <v>46190.791666666664</v>
      </c>
      <c r="AG12" s="798"/>
      <c r="AI12" s="797">
        <f>VLOOKUP(AH11,Matches!$B$4:$K$113,5,0)</f>
        <v>46190.916666666664</v>
      </c>
      <c r="AJ12" s="798"/>
      <c r="AL12" s="365"/>
      <c r="AM12" s="365"/>
      <c r="AO12" s="365"/>
      <c r="AP12" s="365"/>
      <c r="AR12" s="365"/>
      <c r="AS12" s="365"/>
      <c r="AU12" s="365"/>
      <c r="AV12" s="365"/>
    </row>
    <row r="13" spans="1:52">
      <c r="B13" s="34" t="str">
        <f>VLOOKUP(A11,Matches!$B$4:$K$113,8,0)</f>
        <v>Mexico</v>
      </c>
      <c r="C13" s="35" t="str">
        <f>VLOOKUP(A11,Matches!$B$4:$K$113,9,0)</f>
        <v>Zuid-Afrika</v>
      </c>
      <c r="E13" s="34" t="str">
        <f>VLOOKUP(D11,Matches!$B$4:$K$113,8,0)</f>
        <v>Canada</v>
      </c>
      <c r="F13" s="35" t="str">
        <f>VLOOKUP(D11,Matches!$B$4:$K$113,9,0)</f>
        <v>Bosnië/Herzeg.</v>
      </c>
      <c r="H13" s="34" t="str">
        <f>VLOOKUP(G11,Matches!$B$4:$K$113,8,0)</f>
        <v>Brazilië</v>
      </c>
      <c r="I13" s="35" t="str">
        <f>VLOOKUP(G11,Matches!$B$4:$K$113,9,0)</f>
        <v>Marokko</v>
      </c>
      <c r="K13" s="34" t="str">
        <f>VLOOKUP(J11,Matches!$B$4:$K$113,8,0)</f>
        <v>USA</v>
      </c>
      <c r="L13" s="35" t="str">
        <f>VLOOKUP(J11,Matches!$B$4:$K$113,9,0)</f>
        <v>Paraguay</v>
      </c>
      <c r="N13" s="34" t="str">
        <f>VLOOKUP(M11,Matches!$B$4:$K$113,8,0)</f>
        <v>Duitsland</v>
      </c>
      <c r="O13" s="35" t="str">
        <f>VLOOKUP(M11,Matches!$B$4:$K$113,9,0)</f>
        <v>Curacao</v>
      </c>
      <c r="Q13" s="34" t="str">
        <f>VLOOKUP(P11,Matches!$B$4:$K$113,8,0)</f>
        <v>Nederland</v>
      </c>
      <c r="R13" s="35" t="str">
        <f>VLOOKUP(P11,Matches!$B$4:$K$113,9,0)</f>
        <v>Japan</v>
      </c>
      <c r="T13" s="34" t="str">
        <f>VLOOKUP(S11,Matches!$B$4:$K$113,8,0)</f>
        <v>België</v>
      </c>
      <c r="U13" s="35" t="str">
        <f>VLOOKUP(S11,Matches!$B$4:$K$113,9,0)</f>
        <v>Egypte</v>
      </c>
      <c r="W13" s="34" t="str">
        <f>VLOOKUP(V11,Matches!$B$4:$K$113,8,0)</f>
        <v>Spanje</v>
      </c>
      <c r="X13" s="35" t="str">
        <f>VLOOKUP(V11,Matches!$B$4:$K$113,9,0)</f>
        <v>Kaapverdië</v>
      </c>
      <c r="Z13" s="34" t="str">
        <f>VLOOKUP(Y11,Matches!$B$4:$K$113,8,0)</f>
        <v>Frankrijk</v>
      </c>
      <c r="AA13" s="35" t="str">
        <f>VLOOKUP(Y11,Matches!$B$4:$K$113,9,0)</f>
        <v>Senegal</v>
      </c>
      <c r="AC13" s="34" t="str">
        <f>VLOOKUP(AB11,Matches!$B$4:$K$113,8,0)</f>
        <v>Argentinië</v>
      </c>
      <c r="AD13" s="35" t="str">
        <f>VLOOKUP(AB11,Matches!$B$4:$K$113,9,0)</f>
        <v>Algerije</v>
      </c>
      <c r="AF13" s="34" t="str">
        <f>VLOOKUP(AE11,Matches!$B$4:$K$113,8,0)</f>
        <v>Portugal</v>
      </c>
      <c r="AG13" s="35" t="str">
        <f>VLOOKUP(AE11,Matches!$B$4:$K$113,9,0)</f>
        <v>DR Congo</v>
      </c>
      <c r="AI13" s="34" t="str">
        <f>VLOOKUP(AH11,Matches!$B$4:$K$113,8,0)</f>
        <v>Engeland</v>
      </c>
      <c r="AJ13" s="35" t="str">
        <f>VLOOKUP(AH11,Matches!$B$4:$K$113,9,0)</f>
        <v>Kroatië</v>
      </c>
      <c r="AL13" s="17"/>
      <c r="AM13" s="17"/>
      <c r="AO13" s="17"/>
      <c r="AP13" s="17"/>
      <c r="AR13" s="17"/>
      <c r="AS13" s="17"/>
      <c r="AU13" s="17"/>
      <c r="AV13" s="17"/>
    </row>
    <row r="14" spans="1:52" ht="15" thickBot="1">
      <c r="B14" s="1"/>
      <c r="C14" s="2"/>
      <c r="E14" s="1"/>
      <c r="F14" s="2"/>
      <c r="H14" s="1"/>
      <c r="I14" s="2"/>
      <c r="K14" s="1"/>
      <c r="L14" s="2"/>
      <c r="N14" s="1"/>
      <c r="O14" s="2"/>
      <c r="Q14" s="1"/>
      <c r="R14" s="2"/>
      <c r="T14" s="1"/>
      <c r="U14" s="2"/>
      <c r="W14" s="1"/>
      <c r="X14" s="2"/>
      <c r="Z14" s="1"/>
      <c r="AA14" s="2"/>
      <c r="AC14" s="1"/>
      <c r="AD14" s="2"/>
      <c r="AF14" s="1"/>
      <c r="AG14" s="2"/>
      <c r="AI14" s="1"/>
      <c r="AJ14" s="2"/>
      <c r="AL14" s="19"/>
      <c r="AM14" s="19"/>
      <c r="AO14" s="19"/>
      <c r="AP14" s="19"/>
      <c r="AR14" s="19"/>
      <c r="AS14" s="19"/>
      <c r="AU14" s="19"/>
      <c r="AV14" s="19"/>
    </row>
    <row r="15" spans="1:52" ht="15" thickBot="1">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c r="A16" s="73">
        <v>2</v>
      </c>
      <c r="B16" s="799" t="str">
        <f>VLOOKUP(A16,Matches!$B$4:$K$113,7,0)</f>
        <v>Guadalajara</v>
      </c>
      <c r="C16" s="800"/>
      <c r="D16" s="73">
        <v>8</v>
      </c>
      <c r="E16" s="799" t="str">
        <f>VLOOKUP(D16,Matches!$B$4:$K$113,7,0)</f>
        <v>San Francisco Bay Area</v>
      </c>
      <c r="F16" s="800"/>
      <c r="G16" s="73">
        <v>5</v>
      </c>
      <c r="H16" s="799" t="str">
        <f>VLOOKUP(G16,Matches!$B$4:$K$113,7,0)</f>
        <v>Boston</v>
      </c>
      <c r="I16" s="800"/>
      <c r="J16" s="73">
        <v>6</v>
      </c>
      <c r="K16" s="799" t="str">
        <f>VLOOKUP(J16,Matches!$B$4:$K$113,7,0)</f>
        <v>Vancouver</v>
      </c>
      <c r="L16" s="800"/>
      <c r="M16" s="73">
        <v>9</v>
      </c>
      <c r="N16" s="799" t="str">
        <f>VLOOKUP(M16,Matches!$B$4:$K$113,7,0)</f>
        <v>Philadelphia</v>
      </c>
      <c r="O16" s="800"/>
      <c r="P16" s="73">
        <v>12</v>
      </c>
      <c r="Q16" s="799" t="str">
        <f>VLOOKUP(P16,Matches!$B$4:$K$113,7,0)</f>
        <v>Monterrey</v>
      </c>
      <c r="R16" s="800"/>
      <c r="S16" s="73">
        <v>15</v>
      </c>
      <c r="T16" s="799" t="str">
        <f>VLOOKUP(S16,Matches!$B$4:$K$113,7,0)</f>
        <v>Los Angeles</v>
      </c>
      <c r="U16" s="800"/>
      <c r="V16" s="73">
        <v>13</v>
      </c>
      <c r="W16" s="799" t="str">
        <f>VLOOKUP(V16,Matches!$B$4:$K$113,7,0)</f>
        <v>Miami</v>
      </c>
      <c r="X16" s="800"/>
      <c r="Y16" s="73">
        <v>18</v>
      </c>
      <c r="Z16" s="799" t="str">
        <f>VLOOKUP(Y16,Matches!$B$4:$K$113,7,0)</f>
        <v>Boston</v>
      </c>
      <c r="AA16" s="800"/>
      <c r="AB16" s="73">
        <v>20</v>
      </c>
      <c r="AC16" s="799" t="str">
        <f>VLOOKUP(AB16,Matches!$B$4:$K$113,7,0)</f>
        <v>San Francisco Bay Area</v>
      </c>
      <c r="AD16" s="800"/>
      <c r="AE16" s="73">
        <v>24</v>
      </c>
      <c r="AF16" s="799" t="str">
        <f>VLOOKUP(AE16,Matches!$B$4:$K$113,7,0)</f>
        <v>Mexico City</v>
      </c>
      <c r="AG16" s="800"/>
      <c r="AH16" s="73">
        <v>21</v>
      </c>
      <c r="AI16" s="799" t="str">
        <f>VLOOKUP(AH16,Matches!$B$4:$K$113,7,0)</f>
        <v>Toronto</v>
      </c>
      <c r="AJ16" s="800"/>
      <c r="AK16" s="73"/>
      <c r="AN16" s="73"/>
      <c r="AQ16" s="73"/>
      <c r="AT16" s="73"/>
    </row>
    <row r="17" spans="1:48">
      <c r="B17" s="797">
        <f>VLOOKUP(A16,Matches!$B$4:$K$113,5,0)</f>
        <v>46185.166666666664</v>
      </c>
      <c r="C17" s="798"/>
      <c r="E17" s="797">
        <f>VLOOKUP(D16,Matches!$B$4:$K$113,5,0)</f>
        <v>46186.875</v>
      </c>
      <c r="F17" s="798"/>
      <c r="H17" s="797">
        <f>VLOOKUP(G16,Matches!$B$4:$K$113,5,0)</f>
        <v>46187.125</v>
      </c>
      <c r="I17" s="798"/>
      <c r="K17" s="797">
        <f>VLOOKUP(J16,Matches!$B$4:$K$113,5,0)</f>
        <v>46187.25</v>
      </c>
      <c r="L17" s="798"/>
      <c r="N17" s="797">
        <f>VLOOKUP(M16,Matches!$B$4:$K$113,5,0)</f>
        <v>46188.041666666664</v>
      </c>
      <c r="O17" s="798"/>
      <c r="Q17" s="797">
        <f>VLOOKUP(P16,Matches!$B$4:$K$113,5,0)</f>
        <v>46188.166666666664</v>
      </c>
      <c r="R17" s="798"/>
      <c r="T17" s="797">
        <f>VLOOKUP(S16,Matches!$B$4:$K$113,5,0)</f>
        <v>46189.125</v>
      </c>
      <c r="U17" s="798"/>
      <c r="W17" s="797">
        <f>VLOOKUP(V16,Matches!$B$4:$K$113,5,0)</f>
        <v>46189</v>
      </c>
      <c r="X17" s="798"/>
      <c r="Z17" s="797">
        <f>VLOOKUP(Y16,Matches!$B$4:$K$113,5,0)</f>
        <v>46190</v>
      </c>
      <c r="AA17" s="798"/>
      <c r="AC17" s="797">
        <f>VLOOKUP(AB16,Matches!$B$4:$K$113,5,0)</f>
        <v>46190.25</v>
      </c>
      <c r="AD17" s="798"/>
      <c r="AF17" s="797">
        <f>VLOOKUP(AE16,Matches!$B$4:$K$113,5,0)</f>
        <v>46191.166666666664</v>
      </c>
      <c r="AG17" s="798"/>
      <c r="AI17" s="797">
        <f>VLOOKUP(AH16,Matches!$B$4:$K$113,5,0)</f>
        <v>46191.041666666664</v>
      </c>
      <c r="AJ17" s="798"/>
      <c r="AL17" s="365"/>
      <c r="AM17" s="365"/>
      <c r="AO17" s="365"/>
      <c r="AP17" s="365"/>
      <c r="AR17" s="365"/>
      <c r="AS17" s="365"/>
      <c r="AU17" s="365"/>
      <c r="AV17" s="365"/>
    </row>
    <row r="18" spans="1:48">
      <c r="B18" s="34" t="str">
        <f>VLOOKUP(A16,Matches!$B$4:$K$113,8,0)</f>
        <v>Rep. Korea</v>
      </c>
      <c r="C18" s="35" t="str">
        <f>VLOOKUP(A16,Matches!$B$4:$K$113,9,0)</f>
        <v>Tsjechië</v>
      </c>
      <c r="E18" s="34" t="str">
        <f>VLOOKUP(D16,Matches!$B$4:$K$113,8,0)</f>
        <v>Qatar</v>
      </c>
      <c r="F18" s="35" t="str">
        <f>VLOOKUP(D16,Matches!$B$4:$K$113,9,0)</f>
        <v>Zwitserland</v>
      </c>
      <c r="H18" s="34" t="str">
        <f>VLOOKUP(G16,Matches!$B$4:$K$113,8,0)</f>
        <v>Haïti</v>
      </c>
      <c r="I18" s="35" t="str">
        <f>VLOOKUP(G16,Matches!$B$4:$K$113,9,0)</f>
        <v>Schotland</v>
      </c>
      <c r="K18" s="34" t="str">
        <f>VLOOKUP(J16,Matches!$B$4:$K$113,8,0)</f>
        <v>Australië</v>
      </c>
      <c r="L18" s="35" t="str">
        <f>VLOOKUP(J16,Matches!$B$4:$K$113,9,0)</f>
        <v>Turkije</v>
      </c>
      <c r="N18" s="34" t="str">
        <f>VLOOKUP(M16,Matches!$B$4:$K$113,8,0)</f>
        <v>Ivoorkust</v>
      </c>
      <c r="O18" s="35" t="str">
        <f>VLOOKUP(M16,Matches!$B$4:$K$113,9,0)</f>
        <v>Ecuador</v>
      </c>
      <c r="Q18" s="34" t="str">
        <f>VLOOKUP(P16,Matches!$B$4:$K$113,8,0)</f>
        <v>Zweden</v>
      </c>
      <c r="R18" s="35" t="str">
        <f>VLOOKUP(P16,Matches!$B$4:$K$113,9,0)</f>
        <v>Tunesië</v>
      </c>
      <c r="T18" s="34" t="str">
        <f>VLOOKUP(S16,Matches!$B$4:$K$113,8,0)</f>
        <v>IR Iran</v>
      </c>
      <c r="U18" s="35" t="str">
        <f>VLOOKUP(S16,Matches!$B$4:$K$113,9,0)</f>
        <v>Nieuw-Zeeland</v>
      </c>
      <c r="W18" s="34" t="str">
        <f>VLOOKUP(V16,Matches!$B$4:$K$113,8,0)</f>
        <v>Saoedi-Arabië</v>
      </c>
      <c r="X18" s="35" t="str">
        <f>VLOOKUP(V16,Matches!$B$4:$K$113,9,0)</f>
        <v>Uruguay</v>
      </c>
      <c r="Z18" s="34" t="str">
        <f>VLOOKUP(Y16,Matches!$B$4:$K$113,8,0)</f>
        <v>Irak</v>
      </c>
      <c r="AA18" s="35" t="str">
        <f>VLOOKUP(Y16,Matches!$B$4:$K$113,9,0)</f>
        <v>Noorwegen</v>
      </c>
      <c r="AC18" s="34" t="str">
        <f>VLOOKUP(AB16,Matches!$B$4:$K$113,8,0)</f>
        <v>Oostenrijk</v>
      </c>
      <c r="AD18" s="35" t="str">
        <f>VLOOKUP(AB16,Matches!$B$4:$K$113,9,0)</f>
        <v>Jordanië</v>
      </c>
      <c r="AF18" s="34" t="str">
        <f>VLOOKUP(AE16,Matches!$B$4:$K$113,8,0)</f>
        <v>Oezbekistan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c r="B19" s="1"/>
      <c r="C19" s="2"/>
      <c r="E19" s="1"/>
      <c r="F19" s="2"/>
      <c r="H19" s="1"/>
      <c r="I19" s="2"/>
      <c r="K19" s="1"/>
      <c r="L19" s="2"/>
      <c r="N19" s="1"/>
      <c r="O19" s="2"/>
      <c r="Q19" s="1"/>
      <c r="R19" s="2"/>
      <c r="T19" s="1"/>
      <c r="U19" s="2"/>
      <c r="W19" s="1"/>
      <c r="X19" s="2"/>
      <c r="Z19" s="1"/>
      <c r="AA19" s="2"/>
      <c r="AC19" s="1"/>
      <c r="AD19" s="2"/>
      <c r="AF19" s="1"/>
      <c r="AG19" s="2"/>
      <c r="AI19" s="1"/>
      <c r="AJ19" s="2"/>
      <c r="AL19" s="19"/>
      <c r="AM19" s="19"/>
      <c r="AO19" s="19"/>
      <c r="AP19" s="19"/>
      <c r="AR19" s="19"/>
      <c r="AS19" s="19"/>
      <c r="AU19" s="19"/>
      <c r="AV19" s="19"/>
    </row>
    <row r="20" spans="1:48" ht="15" thickBot="1">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c r="A21" s="73">
        <v>25</v>
      </c>
      <c r="B21" s="799" t="str">
        <f>VLOOKUP(A21,Matches!$B$4:$K$113,7,0)</f>
        <v>Atlanta</v>
      </c>
      <c r="C21" s="800"/>
      <c r="D21" s="73">
        <v>26</v>
      </c>
      <c r="E21" s="799" t="str">
        <f>VLOOKUP(D21,Matches!$B$4:$K$113,7,0)</f>
        <v>Los Angeles</v>
      </c>
      <c r="F21" s="800"/>
      <c r="G21" s="73">
        <v>30</v>
      </c>
      <c r="H21" s="799" t="str">
        <f>VLOOKUP(G21,Matches!$B$4:$K$113,7,0)</f>
        <v>Boston</v>
      </c>
      <c r="I21" s="800"/>
      <c r="J21" s="73">
        <v>32</v>
      </c>
      <c r="K21" s="799" t="str">
        <f>VLOOKUP(J21,Matches!$B$4:$K$113,7,0)</f>
        <v>Seattle</v>
      </c>
      <c r="L21" s="800"/>
      <c r="M21" s="73">
        <v>33</v>
      </c>
      <c r="N21" s="799" t="str">
        <f>VLOOKUP(M21,Matches!$B$4:$K$113,7,0)</f>
        <v>Toronto</v>
      </c>
      <c r="O21" s="800"/>
      <c r="P21" s="73">
        <v>35</v>
      </c>
      <c r="Q21" s="799" t="str">
        <f>VLOOKUP(P21,Matches!$B$4:$K$113,7,0)</f>
        <v>Houston</v>
      </c>
      <c r="R21" s="800"/>
      <c r="S21" s="73">
        <v>39</v>
      </c>
      <c r="T21" s="799" t="str">
        <f>VLOOKUP(S21,Matches!$B$4:$K$113,7,0)</f>
        <v>Los Angeles</v>
      </c>
      <c r="U21" s="800"/>
      <c r="V21" s="73">
        <v>38</v>
      </c>
      <c r="W21" s="799" t="str">
        <f>VLOOKUP(V21,Matches!$B$4:$K$113,7,0)</f>
        <v>Atlanta</v>
      </c>
      <c r="X21" s="800"/>
      <c r="Y21" s="73">
        <v>42</v>
      </c>
      <c r="Z21" s="799" t="str">
        <f>VLOOKUP(Y21,Matches!$B$4:$K$113,7,0)</f>
        <v>Philadelphia</v>
      </c>
      <c r="AA21" s="800"/>
      <c r="AB21" s="73">
        <v>43</v>
      </c>
      <c r="AC21" s="799" t="str">
        <f>VLOOKUP(AB21,Matches!$B$4:$K$113,7,0)</f>
        <v>Dallas</v>
      </c>
      <c r="AD21" s="800"/>
      <c r="AE21" s="73">
        <v>47</v>
      </c>
      <c r="AF21" s="799" t="str">
        <f>VLOOKUP(AE21,Matches!$B$4:$K$113,7,0)</f>
        <v>Houston</v>
      </c>
      <c r="AG21" s="800"/>
      <c r="AH21" s="73">
        <v>45</v>
      </c>
      <c r="AI21" s="799" t="str">
        <f>VLOOKUP(AH21,Matches!$B$4:$K$113,7,0)</f>
        <v>Boston</v>
      </c>
      <c r="AJ21" s="800"/>
      <c r="AK21" s="73"/>
      <c r="AN21" s="73"/>
      <c r="AQ21" s="73"/>
      <c r="AT21" s="73"/>
    </row>
    <row r="22" spans="1:48">
      <c r="B22" s="797">
        <f>VLOOKUP(A21,Matches!$B$4:$K$113,5,0)</f>
        <v>46191.75</v>
      </c>
      <c r="C22" s="798"/>
      <c r="E22" s="797">
        <f>VLOOKUP(D21,Matches!$B$4:$K$113,5,0)</f>
        <v>46191.875</v>
      </c>
      <c r="F22" s="798"/>
      <c r="H22" s="797">
        <f>VLOOKUP(G21,Matches!$B$4:$K$113,5,0)</f>
        <v>46193</v>
      </c>
      <c r="I22" s="798"/>
      <c r="K22" s="797">
        <f>VLOOKUP(J21,Matches!$B$4:$K$113,5,0)</f>
        <v>46192.875</v>
      </c>
      <c r="L22" s="798"/>
      <c r="N22" s="797">
        <f>VLOOKUP(M21,Matches!$B$4:$K$113,5,0)</f>
        <v>46193.916666666664</v>
      </c>
      <c r="O22" s="798"/>
      <c r="Q22" s="797">
        <f>VLOOKUP(P21,Matches!$B$4:$K$113,5,0)</f>
        <v>46193.791666666664</v>
      </c>
      <c r="R22" s="798"/>
      <c r="T22" s="797">
        <f>VLOOKUP(S21,Matches!$B$4:$K$113,5,0)</f>
        <v>46194.875</v>
      </c>
      <c r="U22" s="798"/>
      <c r="W22" s="797">
        <f>VLOOKUP(V21,Matches!$B$4:$K$113,5,0)</f>
        <v>46194.75</v>
      </c>
      <c r="X22" s="798"/>
      <c r="Z22" s="797">
        <f>VLOOKUP(Y21,Matches!$B$4:$K$113,5,0)</f>
        <v>46195.958333333336</v>
      </c>
      <c r="AA22" s="798"/>
      <c r="AC22" s="797">
        <f>VLOOKUP(AB21,Matches!$B$4:$K$113,5,0)</f>
        <v>46195.791666666664</v>
      </c>
      <c r="AD22" s="798"/>
      <c r="AF22" s="797">
        <f>VLOOKUP(AE21,Matches!$B$4:$K$113,5,0)</f>
        <v>46196.791666666664</v>
      </c>
      <c r="AG22" s="798"/>
      <c r="AI22" s="797">
        <f>VLOOKUP(AH21,Matches!$B$4:$K$113,5,0)</f>
        <v>46196.916666666664</v>
      </c>
      <c r="AJ22" s="798"/>
      <c r="AL22" s="365"/>
      <c r="AM22" s="365"/>
      <c r="AO22" s="365"/>
      <c r="AP22" s="365"/>
      <c r="AR22" s="365"/>
      <c r="AS22" s="365"/>
      <c r="AU22" s="365"/>
      <c r="AV22" s="365"/>
    </row>
    <row r="23" spans="1:48">
      <c r="B23" s="34" t="str">
        <f>VLOOKUP(A21,Matches!$B$4:$K$113,8,0)</f>
        <v>Tsjechië</v>
      </c>
      <c r="C23" s="35" t="str">
        <f>VLOOKUP(A21,Matches!$B$4:$K$113,9,0)</f>
        <v>Zuid-Afrika</v>
      </c>
      <c r="E23" s="34" t="str">
        <f>VLOOKUP(D21,Matches!$B$4:$K$113,8,0)</f>
        <v>Zwitserland</v>
      </c>
      <c r="F23" s="35" t="str">
        <f>VLOOKUP(D21,Matches!$B$4:$K$113,9,0)</f>
        <v>Bosnië/Herzeg.</v>
      </c>
      <c r="H23" s="34" t="str">
        <f>VLOOKUP(G21,Matches!$B$4:$K$113,8,0)</f>
        <v>Schotland</v>
      </c>
      <c r="I23" s="35" t="str">
        <f>VLOOKUP(G21,Matches!$B$4:$K$113,9,0)</f>
        <v>Marokko</v>
      </c>
      <c r="K23" s="34" t="str">
        <f>VLOOKUP(J21,Matches!$B$4:$K$113,8,0)</f>
        <v>USA</v>
      </c>
      <c r="L23" s="35" t="str">
        <f>VLOOKUP(J21,Matches!$B$4:$K$113,9,0)</f>
        <v>Australië</v>
      </c>
      <c r="N23" s="34" t="str">
        <f>VLOOKUP(M21,Matches!$B$4:$K$113,8,0)</f>
        <v>Duitsland</v>
      </c>
      <c r="O23" s="35" t="str">
        <f>VLOOKUP(M21,Matches!$B$4:$K$113,9,0)</f>
        <v>Ivoorkust</v>
      </c>
      <c r="Q23" s="34" t="str">
        <f>VLOOKUP(P21,Matches!$B$4:$K$113,8,0)</f>
        <v>Nederland</v>
      </c>
      <c r="R23" s="35" t="str">
        <f>VLOOKUP(P21,Matches!$B$4:$K$113,9,0)</f>
        <v>Zweden</v>
      </c>
      <c r="T23" s="34" t="str">
        <f>VLOOKUP(S21,Matches!$B$4:$K$113,8,0)</f>
        <v>België</v>
      </c>
      <c r="U23" s="35" t="str">
        <f>VLOOKUP(S21,Matches!$B$4:$K$113,9,0)</f>
        <v>IR Iran</v>
      </c>
      <c r="W23" s="34" t="str">
        <f>VLOOKUP(V21,Matches!$B$4:$K$113,8,0)</f>
        <v>Spanje</v>
      </c>
      <c r="X23" s="35" t="str">
        <f>VLOOKUP(V21,Matches!$B$4:$K$113,9,0)</f>
        <v>Saoedi-Arabië</v>
      </c>
      <c r="Z23" s="34" t="str">
        <f>VLOOKUP(Y21,Matches!$B$4:$K$113,8,0)</f>
        <v>Frankrijk</v>
      </c>
      <c r="AA23" s="35" t="str">
        <f>VLOOKUP(Y21,Matches!$B$4:$K$113,9,0)</f>
        <v>Irak</v>
      </c>
      <c r="AC23" s="34" t="str">
        <f>VLOOKUP(AB21,Matches!$B$4:$K$113,8,0)</f>
        <v>Argentinië</v>
      </c>
      <c r="AD23" s="35" t="str">
        <f>VLOOKUP(AB21,Matches!$B$4:$K$113,9,0)</f>
        <v>Oostenrijk</v>
      </c>
      <c r="AF23" s="34" t="str">
        <f>VLOOKUP(AE21,Matches!$B$4:$K$113,8,0)</f>
        <v>Portugal</v>
      </c>
      <c r="AG23" s="35" t="str">
        <f>VLOOKUP(AE21,Matches!$B$4:$K$113,9,0)</f>
        <v>Oezbekistan</v>
      </c>
      <c r="AI23" s="34" t="str">
        <f>VLOOKUP(AH21,Matches!$B$4:$K$113,8,0)</f>
        <v>Engeland</v>
      </c>
      <c r="AJ23" s="35" t="str">
        <f>VLOOKUP(AH21,Matches!$B$4:$K$113,9,0)</f>
        <v>Ghana</v>
      </c>
      <c r="AL23" s="17"/>
      <c r="AM23" s="17"/>
      <c r="AO23" s="17"/>
      <c r="AP23" s="17"/>
      <c r="AR23" s="17"/>
      <c r="AS23" s="17"/>
      <c r="AU23" s="17"/>
      <c r="AV23" s="17"/>
    </row>
    <row r="24" spans="1:48" ht="15" thickBot="1">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9" thickBot="1">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c r="A26" s="73">
        <v>28</v>
      </c>
      <c r="B26" s="799" t="str">
        <f>VLOOKUP(A26,Matches!$B$4:$K$113,7,0)</f>
        <v>Guadalajara</v>
      </c>
      <c r="C26" s="800"/>
      <c r="D26" s="73">
        <v>27</v>
      </c>
      <c r="E26" s="799" t="str">
        <f>VLOOKUP(D26,Matches!$B$4:$K$113,7,0)</f>
        <v>Vancouver</v>
      </c>
      <c r="F26" s="800"/>
      <c r="G26" s="73">
        <v>29</v>
      </c>
      <c r="H26" s="799" t="str">
        <f>VLOOKUP(G26,Matches!$B$4:$K$113,7,0)</f>
        <v>Philadelphia</v>
      </c>
      <c r="I26" s="800"/>
      <c r="J26" s="73">
        <v>31</v>
      </c>
      <c r="K26" s="799" t="str">
        <f>VLOOKUP(J26,Matches!$B$4:$K$113,7,0)</f>
        <v>San Francisco Bay Area</v>
      </c>
      <c r="L26" s="800"/>
      <c r="M26" s="73">
        <v>34</v>
      </c>
      <c r="N26" s="799" t="str">
        <f>VLOOKUP(M26,Matches!$B$4:$K$113,7,0)</f>
        <v>Kansas City</v>
      </c>
      <c r="O26" s="800"/>
      <c r="P26" s="73">
        <v>36</v>
      </c>
      <c r="Q26" s="799" t="str">
        <f>VLOOKUP(P26,Matches!$B$4:$K$113,7,0)</f>
        <v>Monterrey</v>
      </c>
      <c r="R26" s="800"/>
      <c r="S26" s="73">
        <v>40</v>
      </c>
      <c r="T26" s="799" t="str">
        <f>VLOOKUP(S26,Matches!$B$4:$K$113,7,0)</f>
        <v>Vancouver</v>
      </c>
      <c r="U26" s="800"/>
      <c r="V26" s="73">
        <v>37</v>
      </c>
      <c r="W26" s="799" t="str">
        <f>VLOOKUP(V26,Matches!$B$4:$K$113,7,0)</f>
        <v>Miami</v>
      </c>
      <c r="X26" s="800"/>
      <c r="Y26" s="73">
        <v>41</v>
      </c>
      <c r="Z26" s="799" t="str">
        <f>VLOOKUP(Y26,Matches!$B$4:$K$113,7,0)</f>
        <v>New York/New Jersey</v>
      </c>
      <c r="AA26" s="800"/>
      <c r="AB26" s="73">
        <v>44</v>
      </c>
      <c r="AC26" s="799" t="str">
        <f>VLOOKUP(AB26,Matches!$B$4:$K$113,7,0)</f>
        <v>San Francisco Bay Area</v>
      </c>
      <c r="AD26" s="800"/>
      <c r="AE26" s="73">
        <v>48</v>
      </c>
      <c r="AF26" s="799" t="str">
        <f>VLOOKUP(AE26,Matches!$B$4:$K$113,7,0)</f>
        <v>Guadalajara</v>
      </c>
      <c r="AG26" s="800"/>
      <c r="AH26" s="73">
        <v>46</v>
      </c>
      <c r="AI26" s="799" t="str">
        <f>VLOOKUP(AH26,Matches!$B$4:$K$113,7,0)</f>
        <v>Toronto</v>
      </c>
      <c r="AJ26" s="800"/>
      <c r="AK26" s="73"/>
      <c r="AN26" s="73"/>
      <c r="AQ26" s="73"/>
      <c r="AT26" s="73"/>
    </row>
    <row r="27" spans="1:48">
      <c r="B27" s="797">
        <f>VLOOKUP(A26,Matches!$B$4:$K$113,5,0)</f>
        <v>46192.125</v>
      </c>
      <c r="C27" s="798"/>
      <c r="E27" s="797">
        <f>VLOOKUP(D26,Matches!$B$4:$K$113,5,0)</f>
        <v>46192</v>
      </c>
      <c r="F27" s="798"/>
      <c r="H27" s="797">
        <f>VLOOKUP(G26,Matches!$B$4:$K$113,5,0)</f>
        <v>46193.104166666664</v>
      </c>
      <c r="I27" s="798"/>
      <c r="K27" s="797">
        <f>VLOOKUP(J26,Matches!$B$4:$K$113,5,0)</f>
        <v>46193.208333333336</v>
      </c>
      <c r="L27" s="798"/>
      <c r="N27" s="797">
        <f>VLOOKUP(M26,Matches!$B$4:$K$113,5,0)</f>
        <v>46194.083333333336</v>
      </c>
      <c r="O27" s="798"/>
      <c r="Q27" s="797">
        <f>VLOOKUP(P26,Matches!$B$4:$K$113,5,0)</f>
        <v>46194.25</v>
      </c>
      <c r="R27" s="798"/>
      <c r="T27" s="797">
        <f>VLOOKUP(S26,Matches!$B$4:$K$113,5,0)</f>
        <v>46195.125</v>
      </c>
      <c r="U27" s="798"/>
      <c r="W27" s="797">
        <f>VLOOKUP(V26,Matches!$B$4:$K$113,5,0)</f>
        <v>46195</v>
      </c>
      <c r="X27" s="798"/>
      <c r="Z27" s="797">
        <f>VLOOKUP(Y26,Matches!$B$4:$K$113,5,0)</f>
        <v>46196.083333333336</v>
      </c>
      <c r="AA27" s="798"/>
      <c r="AC27" s="797">
        <f>VLOOKUP(AB26,Matches!$B$4:$K$113,5,0)</f>
        <v>46196.208333333336</v>
      </c>
      <c r="AD27" s="798"/>
      <c r="AF27" s="797">
        <f>VLOOKUP(AE26,Matches!$B$4:$K$113,5,0)</f>
        <v>46197.166666666664</v>
      </c>
      <c r="AG27" s="798"/>
      <c r="AI27" s="797">
        <f>VLOOKUP(AH26,Matches!$B$4:$K$113,5,0)</f>
        <v>46197.041666666664</v>
      </c>
      <c r="AJ27" s="798"/>
      <c r="AL27" s="365"/>
      <c r="AM27" s="365"/>
      <c r="AO27" s="365"/>
      <c r="AP27" s="365"/>
      <c r="AR27" s="365"/>
      <c r="AS27" s="365"/>
      <c r="AU27" s="365"/>
      <c r="AV27" s="365"/>
    </row>
    <row r="28" spans="1:48">
      <c r="B28" s="34" t="str">
        <f>VLOOKUP(A26,Matches!$B$4:$K$113,8,0)</f>
        <v>Mexico</v>
      </c>
      <c r="C28" s="35" t="str">
        <f>VLOOKUP(A26,Matches!$B$4:$K$113,9,0)</f>
        <v>Rep. Korea</v>
      </c>
      <c r="E28" s="34" t="str">
        <f>VLOOKUP(D26,Matches!$B$4:$K$113,8,0)</f>
        <v>Canada</v>
      </c>
      <c r="F28" s="35" t="str">
        <f>VLOOKUP(D26,Matches!$B$4:$K$113,9,0)</f>
        <v>Qatar</v>
      </c>
      <c r="H28" s="34" t="str">
        <f>VLOOKUP(G26,Matches!$B$4:$K$113,8,0)</f>
        <v>Brazilië</v>
      </c>
      <c r="I28" s="35" t="str">
        <f>VLOOKUP(G26,Matches!$B$4:$K$113,9,0)</f>
        <v>Haïti</v>
      </c>
      <c r="K28" s="34" t="str">
        <f>VLOOKUP(J26,Matches!$B$4:$K$113,8,0)</f>
        <v>Turkije</v>
      </c>
      <c r="L28" s="35" t="str">
        <f>VLOOKUP(J26,Matches!$B$4:$K$113,9,0)</f>
        <v>Paraguay</v>
      </c>
      <c r="N28" s="34" t="str">
        <f>VLOOKUP(M26,Matches!$B$4:$K$113,8,0)</f>
        <v>Ecuador</v>
      </c>
      <c r="O28" s="35" t="str">
        <f>VLOOKUP(M26,Matches!$B$4:$K$113,9,0)</f>
        <v>Curacao</v>
      </c>
      <c r="Q28" s="34" t="str">
        <f>VLOOKUP(P26,Matches!$B$4:$K$113,8,0)</f>
        <v>Tunesië</v>
      </c>
      <c r="R28" s="35" t="str">
        <f>VLOOKUP(P26,Matches!$B$4:$K$113,9,0)</f>
        <v>Japan</v>
      </c>
      <c r="T28" s="34" t="str">
        <f>VLOOKUP(S26,Matches!$B$4:$K$113,8,0)</f>
        <v>Nieuw-Zeeland</v>
      </c>
      <c r="U28" s="35" t="str">
        <f>VLOOKUP(S26,Matches!$B$4:$K$113,9,0)</f>
        <v>Egypte</v>
      </c>
      <c r="W28" s="34" t="str">
        <f>VLOOKUP(V26,Matches!$B$4:$K$113,8,0)</f>
        <v>Uruguay</v>
      </c>
      <c r="X28" s="35" t="str">
        <f>VLOOKUP(V26,Matches!$B$4:$K$113,9,0)</f>
        <v>Kaapverdië</v>
      </c>
      <c r="Z28" s="34" t="str">
        <f>VLOOKUP(Y26,Matches!$B$4:$K$113,8,0)</f>
        <v>Noorwegen</v>
      </c>
      <c r="AA28" s="35" t="str">
        <f>VLOOKUP(Y26,Matches!$B$4:$K$113,9,0)</f>
        <v>Senegal</v>
      </c>
      <c r="AC28" s="34" t="str">
        <f>VLOOKUP(AB26,Matches!$B$4:$K$113,8,0)</f>
        <v>Jordanië</v>
      </c>
      <c r="AD28" s="35" t="str">
        <f>VLOOKUP(AB26,Matches!$B$4:$K$113,9,0)</f>
        <v>Algerije</v>
      </c>
      <c r="AF28" s="34" t="str">
        <f>VLOOKUP(AE26,Matches!$B$4:$K$113,8,0)</f>
        <v>Colombia</v>
      </c>
      <c r="AG28" s="35" t="str">
        <f>VLOOKUP(AE26,Matches!$B$4:$K$113,9,0)</f>
        <v>DR Congo</v>
      </c>
      <c r="AI28" s="34" t="str">
        <f>VLOOKUP(AH26,Matches!$B$4:$K$113,8,0)</f>
        <v>Panama</v>
      </c>
      <c r="AJ28" s="35" t="str">
        <f>VLOOKUP(AH26,Matches!$B$4:$K$113,9,0)</f>
        <v>Kroatië</v>
      </c>
      <c r="AL28" s="17"/>
      <c r="AM28" s="17"/>
      <c r="AO28" s="17"/>
      <c r="AP28" s="17"/>
      <c r="AR28" s="17"/>
      <c r="AS28" s="17"/>
      <c r="AU28" s="17"/>
      <c r="AV28" s="17"/>
    </row>
    <row r="29" spans="1:48" ht="15" thickBot="1">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 thickBot="1">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788" t="str">
        <f>IF(ThirdPlaced!$I$33,"•","")</f>
        <v/>
      </c>
      <c r="AM30" s="788"/>
      <c r="AO30" s="19"/>
      <c r="AP30" s="19"/>
      <c r="AR30" s="19"/>
      <c r="AS30" s="19"/>
      <c r="AU30" s="19"/>
      <c r="AV30" s="19"/>
    </row>
    <row r="31" spans="1:48">
      <c r="A31" s="73">
        <v>53</v>
      </c>
      <c r="B31" s="799" t="str">
        <f>VLOOKUP(A31,Matches!$B$4:$K$113,7,0)</f>
        <v>Mexico City</v>
      </c>
      <c r="C31" s="800"/>
      <c r="D31" s="73">
        <v>51</v>
      </c>
      <c r="E31" s="799" t="str">
        <f>VLOOKUP(D31,Matches!$B$4:$K$113,7,0)</f>
        <v>Vancouver</v>
      </c>
      <c r="F31" s="800"/>
      <c r="G31" s="73">
        <v>49</v>
      </c>
      <c r="H31" s="799" t="str">
        <f>VLOOKUP(G31,Matches!$B$4:$K$113,7,0)</f>
        <v>Miami</v>
      </c>
      <c r="I31" s="800"/>
      <c r="J31" s="73">
        <v>59</v>
      </c>
      <c r="K31" s="799" t="str">
        <f>VLOOKUP(J31,Matches!$B$4:$K$113,7,0)</f>
        <v>Los Angeles</v>
      </c>
      <c r="L31" s="800"/>
      <c r="M31" s="73">
        <v>55</v>
      </c>
      <c r="N31" s="799" t="str">
        <f>VLOOKUP(M31,Matches!$B$4:$K$113,7,0)</f>
        <v>Philadelphia</v>
      </c>
      <c r="O31" s="800"/>
      <c r="P31" s="73">
        <v>57</v>
      </c>
      <c r="Q31" s="799" t="str">
        <f>VLOOKUP(P31,Matches!$B$4:$K$113,7,0)</f>
        <v>Dallas</v>
      </c>
      <c r="R31" s="800"/>
      <c r="S31" s="73">
        <v>63</v>
      </c>
      <c r="T31" s="799" t="str">
        <f>VLOOKUP(S31,Matches!$B$4:$K$113,7,0)</f>
        <v>Seattle</v>
      </c>
      <c r="U31" s="800"/>
      <c r="V31" s="73">
        <v>65</v>
      </c>
      <c r="W31" s="799" t="str">
        <f>VLOOKUP(V31,Matches!$B$4:$K$113,7,0)</f>
        <v>Houston</v>
      </c>
      <c r="X31" s="800"/>
      <c r="Y31" s="73">
        <v>61</v>
      </c>
      <c r="Z31" s="799" t="str">
        <f>VLOOKUP(Y31,Matches!$B$4:$K$113,7,0)</f>
        <v>Boston</v>
      </c>
      <c r="AA31" s="800"/>
      <c r="AB31" s="73">
        <v>69</v>
      </c>
      <c r="AC31" s="799" t="str">
        <f>VLOOKUP(AB31,Matches!$B$4:$K$113,7,0)</f>
        <v>Kansas City</v>
      </c>
      <c r="AD31" s="800"/>
      <c r="AE31" s="73">
        <v>71</v>
      </c>
      <c r="AF31" s="799" t="str">
        <f>VLOOKUP(AE31,Matches!$B$4:$K$113,7,0)</f>
        <v>Miami</v>
      </c>
      <c r="AG31" s="800"/>
      <c r="AH31" s="73">
        <v>67</v>
      </c>
      <c r="AI31" s="799" t="str">
        <f>VLOOKUP(AH31,Matches!$B$4:$K$113,7,0)</f>
        <v>New York/New Jersey</v>
      </c>
      <c r="AJ31" s="800"/>
      <c r="AK31" s="73"/>
      <c r="AL31" s="795" t="str">
        <f>Language!$E$180</f>
        <v>Derde van de groep</v>
      </c>
      <c r="AM31" s="796"/>
      <c r="AN31" s="463" t="str">
        <f>Language!$E$181</f>
        <v>Grp</v>
      </c>
      <c r="AQ31" s="73"/>
      <c r="AT31" s="73"/>
    </row>
    <row r="32" spans="1:48">
      <c r="B32" s="797">
        <f>VLOOKUP(A31,Matches!$B$4:$K$113,5,0)</f>
        <v>46198.125</v>
      </c>
      <c r="C32" s="798"/>
      <c r="E32" s="797">
        <f>VLOOKUP(D31,Matches!$B$4:$K$113,5,0)</f>
        <v>46197.875</v>
      </c>
      <c r="F32" s="798"/>
      <c r="H32" s="797">
        <f>VLOOKUP(G31,Matches!$B$4:$K$113,5,0)</f>
        <v>46198</v>
      </c>
      <c r="I32" s="798"/>
      <c r="K32" s="797">
        <f>VLOOKUP(J31,Matches!$B$4:$K$113,5,0)</f>
        <v>46199.166666666664</v>
      </c>
      <c r="L32" s="798"/>
      <c r="N32" s="797">
        <f>VLOOKUP(M31,Matches!$B$4:$K$113,5,0)</f>
        <v>46198.916666666664</v>
      </c>
      <c r="O32" s="798"/>
      <c r="Q32" s="797">
        <f>VLOOKUP(P31,Matches!$B$4:$K$113,5,0)</f>
        <v>46199.041666666664</v>
      </c>
      <c r="R32" s="798"/>
      <c r="T32" s="797">
        <f>VLOOKUP(S31,Matches!$B$4:$K$113,5,0)</f>
        <v>46200.208333333336</v>
      </c>
      <c r="U32" s="798"/>
      <c r="W32" s="797">
        <f>VLOOKUP(V31,Matches!$B$4:$K$113,5,0)</f>
        <v>46200.083333333336</v>
      </c>
      <c r="X32" s="798"/>
      <c r="Z32" s="797">
        <f>VLOOKUP(Y31,Matches!$B$4:$K$113,5,0)</f>
        <v>46199.875</v>
      </c>
      <c r="AA32" s="798"/>
      <c r="AC32" s="797">
        <f>VLOOKUP(AB31,Matches!$B$4:$K$113,5,0)</f>
        <v>46201.166666666664</v>
      </c>
      <c r="AD32" s="798"/>
      <c r="AF32" s="797">
        <f>VLOOKUP(AE31,Matches!$B$4:$K$113,5,0)</f>
        <v>46201.0625</v>
      </c>
      <c r="AG32" s="798"/>
      <c r="AI32" s="797">
        <f>VLOOKUP(AH31,Matches!$B$4:$K$113,5,0)</f>
        <v>46200.958333333336</v>
      </c>
      <c r="AJ32" s="798"/>
      <c r="AL32" s="462" t="str">
        <f>IF(OR(ThirdPlaced!$D17&gt;0,ThirdPlaced!$G17&gt;0),ThirdPlaced!$C17,"")</f>
        <v/>
      </c>
      <c r="AM32" s="455" t="str">
        <f>IF(AL32&lt;&gt;"","   "&amp;ThirdPlaced!$D17&amp;"        "&amp;ThirdPlaced!$F17&amp;Language!$E$197&amp;ThirdPlaced!$G17,"")</f>
        <v/>
      </c>
      <c r="AN32" s="461" t="str">
        <f>IF(AL32&lt;&gt;"",ThirdPlaced!$I17,"")</f>
        <v/>
      </c>
      <c r="AO32" s="365"/>
      <c r="AP32" s="365"/>
      <c r="AR32" s="365"/>
      <c r="AS32" s="365"/>
      <c r="AU32" s="365"/>
      <c r="AV32" s="365"/>
    </row>
    <row r="33" spans="1:48">
      <c r="B33" s="34" t="str">
        <f>VLOOKUP(A31,Matches!$B$4:$K$113,8,0)</f>
        <v>Tsjechië</v>
      </c>
      <c r="C33" s="35" t="str">
        <f>VLOOKUP(A31,Matches!$B$4:$K$113,9,0)</f>
        <v>Mexico</v>
      </c>
      <c r="E33" s="34" t="str">
        <f>VLOOKUP(D31,Matches!$B$4:$K$113,8,0)</f>
        <v>Zwitserland</v>
      </c>
      <c r="F33" s="35" t="str">
        <f>VLOOKUP(D31,Matches!$B$4:$K$113,9,0)</f>
        <v>Canada</v>
      </c>
      <c r="H33" s="34" t="str">
        <f>VLOOKUP(G31,Matches!$B$4:$K$113,8,0)</f>
        <v>Schotland</v>
      </c>
      <c r="I33" s="35" t="str">
        <f>VLOOKUP(G31,Matches!$B$4:$K$113,9,0)</f>
        <v>Brazilië</v>
      </c>
      <c r="K33" s="34" t="str">
        <f>VLOOKUP(J31,Matches!$B$4:$K$113,8,0)</f>
        <v>Turkije</v>
      </c>
      <c r="L33" s="35" t="str">
        <f>VLOOKUP(J31,Matches!$B$4:$K$113,9,0)</f>
        <v>USA</v>
      </c>
      <c r="N33" s="34" t="str">
        <f>VLOOKUP(M31,Matches!$B$4:$K$113,8,0)</f>
        <v>Curacao</v>
      </c>
      <c r="O33" s="35" t="str">
        <f>VLOOKUP(M31,Matches!$B$4:$K$113,9,0)</f>
        <v>Ivoorkust</v>
      </c>
      <c r="Q33" s="34" t="str">
        <f>VLOOKUP(P31,Matches!$B$4:$K$113,8,0)</f>
        <v>Japan</v>
      </c>
      <c r="R33" s="35" t="str">
        <f>VLOOKUP(P31,Matches!$B$4:$K$113,9,0)</f>
        <v>Zweden</v>
      </c>
      <c r="T33" s="34" t="str">
        <f>VLOOKUP(S31,Matches!$B$4:$K$113,8,0)</f>
        <v>Egypte</v>
      </c>
      <c r="U33" s="35" t="str">
        <f>VLOOKUP(S31,Matches!$B$4:$K$113,9,0)</f>
        <v>IR Iran</v>
      </c>
      <c r="W33" s="34" t="str">
        <f>VLOOKUP(V31,Matches!$B$4:$K$113,8,0)</f>
        <v>Kaapverdië</v>
      </c>
      <c r="X33" s="35" t="str">
        <f>VLOOKUP(V31,Matches!$B$4:$K$113,9,0)</f>
        <v>Saoedi-Arabië</v>
      </c>
      <c r="Z33" s="34" t="str">
        <f>VLOOKUP(Y31,Matches!$B$4:$K$113,8,0)</f>
        <v>Noorwegen</v>
      </c>
      <c r="AA33" s="35" t="str">
        <f>VLOOKUP(Y31,Matches!$B$4:$K$113,9,0)</f>
        <v>Frankrijk</v>
      </c>
      <c r="AC33" s="34" t="str">
        <f>VLOOKUP(AB31,Matches!$B$4:$K$113,8,0)</f>
        <v>Algerije</v>
      </c>
      <c r="AD33" s="35" t="str">
        <f>VLOOKUP(AB31,Matches!$B$4:$K$113,9,0)</f>
        <v>Oostenrijk</v>
      </c>
      <c r="AF33" s="34" t="str">
        <f>VLOOKUP(AE31,Matches!$B$4:$K$113,8,0)</f>
        <v>Colombia</v>
      </c>
      <c r="AG33" s="35" t="str">
        <f>VLOOKUP(AE31,Matches!$B$4:$K$113,9,0)</f>
        <v>Portugal</v>
      </c>
      <c r="AI33" s="34" t="str">
        <f>VLOOKUP(AH31,Matches!$B$4:$K$113,8,0)</f>
        <v>Panama</v>
      </c>
      <c r="AJ33" s="35" t="str">
        <f>VLOOKUP(AH31,Matches!$B$4:$K$113,9,0)</f>
        <v>Engeland</v>
      </c>
      <c r="AL33" s="462" t="str">
        <f>IF(OR(ThirdPlaced!$D18&gt;0,ThirdPlaced!$G18&gt;0),ThirdPlaced!$C18,"")</f>
        <v/>
      </c>
      <c r="AM33" s="455" t="str">
        <f>IF(AL33&lt;&gt;"","   "&amp;ThirdPlaced!$D18&amp;"        "&amp;ThirdPlaced!$F18&amp;Language!$E$197&amp;ThirdPlaced!$G18,"")</f>
        <v/>
      </c>
      <c r="AN33" s="461" t="str">
        <f>IF(AL33&lt;&gt;"",ThirdPlaced!$I18,"")</f>
        <v/>
      </c>
      <c r="AO33" s="17"/>
      <c r="AP33" s="17"/>
      <c r="AR33" s="17"/>
      <c r="AS33" s="17"/>
      <c r="AU33" s="17"/>
      <c r="AV33" s="17"/>
    </row>
    <row r="34" spans="1:48" ht="15" thickBot="1">
      <c r="B34" s="1"/>
      <c r="C34" s="2"/>
      <c r="E34" s="1"/>
      <c r="F34" s="2"/>
      <c r="H34" s="1"/>
      <c r="I34" s="2"/>
      <c r="K34" s="1"/>
      <c r="L34" s="2"/>
      <c r="N34" s="1"/>
      <c r="O34" s="2"/>
      <c r="Q34" s="1"/>
      <c r="R34" s="2"/>
      <c r="T34" s="1"/>
      <c r="U34" s="2"/>
      <c r="W34" s="1"/>
      <c r="X34" s="2"/>
      <c r="Z34" s="1"/>
      <c r="AA34" s="2"/>
      <c r="AC34" s="1"/>
      <c r="AD34" s="2"/>
      <c r="AF34" s="1"/>
      <c r="AG34" s="2"/>
      <c r="AI34" s="1"/>
      <c r="AJ34" s="2"/>
      <c r="AL34" s="462" t="str">
        <f>IF(OR(ThirdPlaced!$D19&gt;0,ThirdPlaced!$G19&gt;0),ThirdPlaced!$C19,"")</f>
        <v/>
      </c>
      <c r="AM34" s="455" t="str">
        <f>IF(AL34&lt;&gt;"","   "&amp;ThirdPlaced!$D19&amp;"        "&amp;ThirdPlaced!$F19&amp;Language!$E$197&amp;ThirdPlaced!$G19,"")</f>
        <v/>
      </c>
      <c r="AN34" s="461" t="str">
        <f>IF(AL34&lt;&gt;"",ThirdPlaced!$I19,"")</f>
        <v/>
      </c>
      <c r="AO34" s="19"/>
      <c r="AP34" s="19"/>
      <c r="AR34" s="19"/>
      <c r="AS34" s="19"/>
      <c r="AU34" s="19"/>
      <c r="AV34" s="19"/>
    </row>
    <row r="35" spans="1:48" ht="15" thickBot="1">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2" t="str">
        <f>IF(OR(ThirdPlaced!$D20&gt;0,ThirdPlaced!$G20&gt;0),ThirdPlaced!$C20,"")</f>
        <v/>
      </c>
      <c r="AM35" s="455" t="str">
        <f>IF(AL35&lt;&gt;"","   "&amp;ThirdPlaced!$D20&amp;"        "&amp;ThirdPlaced!$F20&amp;Language!$E$197&amp;ThirdPlaced!$G20,"")</f>
        <v/>
      </c>
      <c r="AN35" s="461" t="str">
        <f>IF(AL35&lt;&gt;"",ThirdPlaced!$I20,"")</f>
        <v/>
      </c>
      <c r="AO35" s="19"/>
      <c r="AP35" s="19"/>
      <c r="AR35" s="19"/>
      <c r="AS35" s="19"/>
      <c r="AU35" s="19"/>
      <c r="AV35" s="19"/>
    </row>
    <row r="36" spans="1:48">
      <c r="A36" s="73">
        <v>54</v>
      </c>
      <c r="B36" s="799" t="str">
        <f>VLOOKUP(A36,Matches!$B$4:$K$113,7,0)</f>
        <v>Monterrey</v>
      </c>
      <c r="C36" s="800"/>
      <c r="D36" s="73">
        <v>52</v>
      </c>
      <c r="E36" s="799" t="str">
        <f>VLOOKUP(D36,Matches!$B$4:$K$113,7,0)</f>
        <v>Seattle</v>
      </c>
      <c r="F36" s="800"/>
      <c r="G36" s="73">
        <v>50</v>
      </c>
      <c r="H36" s="799" t="str">
        <f>VLOOKUP(G36,Matches!$B$4:$K$113,7,0)</f>
        <v>Atlanta</v>
      </c>
      <c r="I36" s="800"/>
      <c r="J36" s="73">
        <v>60</v>
      </c>
      <c r="K36" s="799" t="str">
        <f>VLOOKUP(J36,Matches!$B$4:$K$113,7,0)</f>
        <v>San Francisco Bay Area</v>
      </c>
      <c r="L36" s="800"/>
      <c r="M36" s="73">
        <v>56</v>
      </c>
      <c r="N36" s="799" t="str">
        <f>VLOOKUP(M36,Matches!$B$4:$K$113,7,0)</f>
        <v>New York/New Jersey</v>
      </c>
      <c r="O36" s="800"/>
      <c r="P36" s="73">
        <v>58</v>
      </c>
      <c r="Q36" s="799" t="str">
        <f>VLOOKUP(P36,Matches!$B$4:$K$113,7,0)</f>
        <v>Kansas City</v>
      </c>
      <c r="R36" s="800"/>
      <c r="S36" s="73">
        <v>64</v>
      </c>
      <c r="T36" s="799" t="str">
        <f>VLOOKUP(S36,Matches!$B$4:$K$113,7,0)</f>
        <v>Vancouver</v>
      </c>
      <c r="U36" s="800"/>
      <c r="V36" s="73">
        <v>66</v>
      </c>
      <c r="W36" s="799" t="str">
        <f>VLOOKUP(V36,Matches!$B$4:$K$113,7,0)</f>
        <v>Guadalajara</v>
      </c>
      <c r="X36" s="800"/>
      <c r="Y36" s="73">
        <v>62</v>
      </c>
      <c r="Z36" s="799" t="str">
        <f>VLOOKUP(Y36,Matches!$B$4:$K$113,7,0)</f>
        <v>Toronto</v>
      </c>
      <c r="AA36" s="800"/>
      <c r="AB36" s="73">
        <v>70</v>
      </c>
      <c r="AC36" s="799" t="str">
        <f>VLOOKUP(AB36,Matches!$B$4:$K$113,7,0)</f>
        <v>Dallas</v>
      </c>
      <c r="AD36" s="800"/>
      <c r="AE36" s="73">
        <v>72</v>
      </c>
      <c r="AF36" s="799" t="str">
        <f>VLOOKUP(AE36,Matches!$B$4:$K$113,7,0)</f>
        <v>Atlanta</v>
      </c>
      <c r="AG36" s="800"/>
      <c r="AH36" s="73">
        <v>68</v>
      </c>
      <c r="AI36" s="799" t="str">
        <f>VLOOKUP(AH36,Matches!$B$4:$K$113,7,0)</f>
        <v>Philadelphia</v>
      </c>
      <c r="AJ36" s="800"/>
      <c r="AK36" s="73"/>
      <c r="AL36" s="462" t="str">
        <f>IF(OR(ThirdPlaced!$D21&gt;0,ThirdPlaced!$G21&gt;0),ThirdPlaced!$C21,"")</f>
        <v/>
      </c>
      <c r="AM36" s="455" t="str">
        <f>IF(AL36&lt;&gt;"","   "&amp;ThirdPlaced!$D21&amp;"        "&amp;ThirdPlaced!$F21&amp;Language!$E$197&amp;ThirdPlaced!$G21,"")</f>
        <v/>
      </c>
      <c r="AN36" s="461" t="str">
        <f>IF(AL36&lt;&gt;"",ThirdPlaced!$I21,"")</f>
        <v/>
      </c>
      <c r="AT36" s="73"/>
    </row>
    <row r="37" spans="1:48">
      <c r="B37" s="797">
        <f>VLOOKUP(A36,Matches!$B$4:$K$113,5,0)</f>
        <v>46198.125</v>
      </c>
      <c r="C37" s="798"/>
      <c r="E37" s="797">
        <f>VLOOKUP(D36,Matches!$B$4:$K$113,5,0)</f>
        <v>46197.875</v>
      </c>
      <c r="F37" s="798"/>
      <c r="H37" s="797">
        <f>VLOOKUP(G36,Matches!$B$4:$K$113,5,0)</f>
        <v>46198</v>
      </c>
      <c r="I37" s="798"/>
      <c r="K37" s="797">
        <f>VLOOKUP(J36,Matches!$B$4:$K$113,5,0)</f>
        <v>46199.166666666664</v>
      </c>
      <c r="L37" s="798"/>
      <c r="N37" s="797">
        <f>VLOOKUP(M36,Matches!$B$4:$K$113,5,0)</f>
        <v>46198.916666666664</v>
      </c>
      <c r="O37" s="798"/>
      <c r="Q37" s="797">
        <f>VLOOKUP(P36,Matches!$B$4:$K$113,5,0)</f>
        <v>46199.041666666664</v>
      </c>
      <c r="R37" s="798"/>
      <c r="T37" s="797">
        <f>VLOOKUP(S36,Matches!$B$4:$K$113,5,0)</f>
        <v>46200.208333333336</v>
      </c>
      <c r="U37" s="798"/>
      <c r="W37" s="797">
        <f>VLOOKUP(V36,Matches!$B$4:$K$113,5,0)</f>
        <v>46200.083333333336</v>
      </c>
      <c r="X37" s="798"/>
      <c r="Z37" s="797">
        <f>VLOOKUP(Y36,Matches!$B$4:$K$113,5,0)</f>
        <v>46199.875</v>
      </c>
      <c r="AA37" s="798"/>
      <c r="AC37" s="797">
        <f>VLOOKUP(AB36,Matches!$B$4:$K$113,5,0)</f>
        <v>46201.166666666664</v>
      </c>
      <c r="AD37" s="798"/>
      <c r="AF37" s="797">
        <f>VLOOKUP(AE36,Matches!$B$4:$K$113,5,0)</f>
        <v>46201.0625</v>
      </c>
      <c r="AG37" s="798"/>
      <c r="AI37" s="797">
        <f>VLOOKUP(AH36,Matches!$B$4:$K$113,5,0)</f>
        <v>46200.958333333336</v>
      </c>
      <c r="AJ37" s="798"/>
      <c r="AL37" s="462" t="str">
        <f>IF(OR(ThirdPlaced!$D22&gt;0,ThirdPlaced!$G22&gt;0),ThirdPlaced!$C22,"")</f>
        <v/>
      </c>
      <c r="AM37" s="455" t="str">
        <f>IF(AL37&lt;&gt;"","   "&amp;ThirdPlaced!$D22&amp;"        "&amp;ThirdPlaced!$F22&amp;Language!$E$197&amp;ThirdPlaced!$G22,"")</f>
        <v/>
      </c>
      <c r="AN37" s="461" t="str">
        <f>IF(AL37&lt;&gt;"",ThirdPlaced!$I22,"")</f>
        <v/>
      </c>
      <c r="AQ37" s="38"/>
      <c r="AR37" s="365"/>
      <c r="AS37" s="365"/>
      <c r="AU37" s="365"/>
      <c r="AV37" s="365"/>
    </row>
    <row r="38" spans="1:48">
      <c r="B38" s="34" t="str">
        <f>VLOOKUP(A36,Matches!$B$4:$K$113,8,0)</f>
        <v>Zuid-Afrika</v>
      </c>
      <c r="C38" s="35" t="str">
        <f>VLOOKUP(A36,Matches!$B$4:$K$113,9,0)</f>
        <v>Rep. Korea</v>
      </c>
      <c r="E38" s="34" t="str">
        <f>VLOOKUP(D36,Matches!$B$4:$K$113,8,0)</f>
        <v>Bosnië/Herzeg.</v>
      </c>
      <c r="F38" s="35" t="str">
        <f>VLOOKUP(D36,Matches!$B$4:$K$113,9,0)</f>
        <v>Qatar</v>
      </c>
      <c r="H38" s="34" t="str">
        <f>VLOOKUP(G36,Matches!$B$4:$K$113,8,0)</f>
        <v>Marokko</v>
      </c>
      <c r="I38" s="35" t="str">
        <f>VLOOKUP(G36,Matches!$B$4:$K$113,9,0)</f>
        <v>Haïti</v>
      </c>
      <c r="K38" s="34" t="str">
        <f>VLOOKUP(J36,Matches!$B$4:$K$113,8,0)</f>
        <v>Paraguay</v>
      </c>
      <c r="L38" s="35" t="str">
        <f>VLOOKUP(J36,Matches!$B$4:$K$113,9,0)</f>
        <v>Australië</v>
      </c>
      <c r="N38" s="34" t="str">
        <f>VLOOKUP(M36,Matches!$B$4:$K$113,8,0)</f>
        <v>Ecuador</v>
      </c>
      <c r="O38" s="35" t="str">
        <f>VLOOKUP(M36,Matches!$B$4:$K$113,9,0)</f>
        <v>Duitsland</v>
      </c>
      <c r="Q38" s="34" t="str">
        <f>VLOOKUP(P36,Matches!$B$4:$K$113,8,0)</f>
        <v>Tunesië</v>
      </c>
      <c r="R38" s="35" t="str">
        <f>VLOOKUP(P36,Matches!$B$4:$K$113,9,0)</f>
        <v>Nederland</v>
      </c>
      <c r="T38" s="34" t="str">
        <f>VLOOKUP(S36,Matches!$B$4:$K$113,8,0)</f>
        <v>Nieuw-Zeeland</v>
      </c>
      <c r="U38" s="35" t="str">
        <f>VLOOKUP(S36,Matches!$B$4:$K$113,9,0)</f>
        <v>België</v>
      </c>
      <c r="W38" s="34" t="str">
        <f>VLOOKUP(V36,Matches!$B$4:$K$113,8,0)</f>
        <v>Uruguay</v>
      </c>
      <c r="X38" s="35" t="str">
        <f>VLOOKUP(V36,Matches!$B$4:$K$113,9,0)</f>
        <v>Spanje</v>
      </c>
      <c r="Z38" s="34" t="str">
        <f>VLOOKUP(Y36,Matches!$B$4:$K$113,8,0)</f>
        <v>Senegal</v>
      </c>
      <c r="AA38" s="35" t="str">
        <f>VLOOKUP(Y36,Matches!$B$4:$K$113,9,0)</f>
        <v>Irak</v>
      </c>
      <c r="AC38" s="34" t="str">
        <f>VLOOKUP(AB36,Matches!$B$4:$K$113,8,0)</f>
        <v>Jordanië</v>
      </c>
      <c r="AD38" s="35" t="str">
        <f>VLOOKUP(AB36,Matches!$B$4:$K$113,9,0)</f>
        <v>Argentinië</v>
      </c>
      <c r="AF38" s="34" t="str">
        <f>VLOOKUP(AE36,Matches!$B$4:$K$113,8,0)</f>
        <v>DR Congo</v>
      </c>
      <c r="AG38" s="35" t="str">
        <f>VLOOKUP(AE36,Matches!$B$4:$K$113,9,0)</f>
        <v>Oezbekistan</v>
      </c>
      <c r="AI38" s="34" t="str">
        <f>VLOOKUP(AH36,Matches!$B$4:$K$113,8,0)</f>
        <v>Kroatië</v>
      </c>
      <c r="AJ38" s="35" t="str">
        <f>VLOOKUP(AH36,Matches!$B$4:$K$113,9,0)</f>
        <v>Ghana</v>
      </c>
      <c r="AL38" s="462" t="str">
        <f>IF(OR(ThirdPlaced!$D23&gt;0,ThirdPlaced!$G23&gt;0),ThirdPlaced!$C23,"")</f>
        <v/>
      </c>
      <c r="AM38" s="455" t="str">
        <f>IF(AL38&lt;&gt;"","   "&amp;ThirdPlaced!$D23&amp;"        "&amp;ThirdPlaced!$F23&amp;Language!$E$197&amp;ThirdPlaced!$G23,"")</f>
        <v/>
      </c>
      <c r="AN38" s="461" t="str">
        <f>IF(AL38&lt;&gt;"",ThirdPlaced!$I23,"")</f>
        <v/>
      </c>
      <c r="AR38" s="17"/>
      <c r="AS38" s="17"/>
      <c r="AU38" s="17"/>
      <c r="AV38" s="17"/>
    </row>
    <row r="39" spans="1:48" ht="15" thickBot="1">
      <c r="B39" s="1"/>
      <c r="C39" s="2"/>
      <c r="E39" s="1"/>
      <c r="F39" s="2"/>
      <c r="H39" s="1"/>
      <c r="I39" s="2"/>
      <c r="K39" s="1"/>
      <c r="L39" s="2"/>
      <c r="N39" s="1"/>
      <c r="O39" s="2"/>
      <c r="Q39" s="1"/>
      <c r="R39" s="2"/>
      <c r="T39" s="1"/>
      <c r="U39" s="2"/>
      <c r="W39" s="1"/>
      <c r="X39" s="2"/>
      <c r="Z39" s="1"/>
      <c r="AA39" s="2"/>
      <c r="AC39" s="1"/>
      <c r="AD39" s="2"/>
      <c r="AF39" s="1"/>
      <c r="AG39" s="2"/>
      <c r="AI39" s="1"/>
      <c r="AJ39" s="2"/>
      <c r="AL39" s="467" t="str">
        <f>IF(OR(ThirdPlaced!$D24&gt;0,ThirdPlaced!$G24&gt;0),ThirdPlaced!$C24,"")</f>
        <v/>
      </c>
      <c r="AM39" s="468" t="str">
        <f>IF(AL39&lt;&gt;"","   "&amp;ThirdPlaced!$D24&amp;"        "&amp;ThirdPlaced!$F24&amp;Language!$E$197&amp;ThirdPlaced!$G24,"")</f>
        <v/>
      </c>
      <c r="AN39" s="469" t="str">
        <f>IF(AL39&lt;&gt;"",ThirdPlaced!$I24,"")</f>
        <v/>
      </c>
      <c r="AO39" s="787"/>
      <c r="AP39" s="787"/>
      <c r="AQ39" s="38"/>
      <c r="AR39" s="19"/>
      <c r="AS39" s="19"/>
      <c r="AU39" s="19"/>
      <c r="AV39" s="19"/>
    </row>
    <row r="40" spans="1:48" ht="15.5">
      <c r="T40" s="44"/>
      <c r="U40" s="44"/>
      <c r="AL40" s="464" t="str">
        <f>IF(OR(ThirdPlaced!$D25&gt;0,ThirdPlaced!$G25&gt;0),ThirdPlaced!$C25,"")</f>
        <v/>
      </c>
      <c r="AM40" s="465" t="str">
        <f>IF(AL40&lt;&gt;"","   "&amp;ThirdPlaced!$D25&amp;"        "&amp;ThirdPlaced!$F25&amp;Language!$E$197&amp;ThirdPlaced!$G25,"")</f>
        <v/>
      </c>
      <c r="AN40" s="466" t="str">
        <f>IF(AL40&lt;&gt;"",ThirdPlaced!$I25,"")</f>
        <v/>
      </c>
      <c r="AR40" s="44"/>
      <c r="AS40" s="44"/>
    </row>
    <row r="41" spans="1:48">
      <c r="B41" s="807" t="str">
        <f>B9</f>
        <v>Groep A</v>
      </c>
      <c r="C41" s="808"/>
      <c r="E41" s="807" t="str">
        <f>E9</f>
        <v>Groep B</v>
      </c>
      <c r="F41" s="808"/>
      <c r="H41" s="807" t="str">
        <f>H9</f>
        <v>Groep C</v>
      </c>
      <c r="I41" s="808"/>
      <c r="K41" s="807" t="str">
        <f>K9</f>
        <v>Groep D</v>
      </c>
      <c r="L41" s="808"/>
      <c r="N41" s="807" t="str">
        <f>N9</f>
        <v>Groep E</v>
      </c>
      <c r="O41" s="808"/>
      <c r="Q41" s="807" t="str">
        <f>Q9</f>
        <v>Groep F</v>
      </c>
      <c r="R41" s="808"/>
      <c r="T41" s="807" t="str">
        <f>T9</f>
        <v>Groep G</v>
      </c>
      <c r="U41" s="808"/>
      <c r="V41" s="38"/>
      <c r="W41" s="807" t="str">
        <f>W9</f>
        <v>Groep H</v>
      </c>
      <c r="X41" s="808"/>
      <c r="Z41" s="807" t="str">
        <f>Z9</f>
        <v>Groep I</v>
      </c>
      <c r="AA41" s="808"/>
      <c r="AC41" s="807" t="str">
        <f>AC9</f>
        <v>Groep J</v>
      </c>
      <c r="AD41" s="808"/>
      <c r="AF41" s="807" t="str">
        <f>AF9</f>
        <v>Groep K</v>
      </c>
      <c r="AG41" s="808"/>
      <c r="AI41" s="807" t="str">
        <f>AI9</f>
        <v>Groep L</v>
      </c>
      <c r="AJ41" s="808"/>
      <c r="AL41" s="456" t="str">
        <f>IF(OR(ThirdPlaced!$D26&gt;0,ThirdPlaced!$G26&gt;0),ThirdPlaced!$C26,"")</f>
        <v/>
      </c>
      <c r="AM41" s="457" t="str">
        <f>IF(AL41&lt;&gt;"","   "&amp;ThirdPlaced!$D26&amp;"        "&amp;ThirdPlaced!$F26&amp;Language!$E$197&amp;ThirdPlaced!$G26,"")</f>
        <v/>
      </c>
      <c r="AN41" s="458" t="str">
        <f>IF(AL41&lt;&gt;"",ThirdPlaced!$I26,"")</f>
        <v/>
      </c>
      <c r="AR41" s="364"/>
      <c r="AS41" s="364"/>
      <c r="AT41" s="38"/>
      <c r="AU41" s="364"/>
      <c r="AV41" s="364"/>
    </row>
    <row r="42" spans="1:48">
      <c r="A42" s="69" t="s">
        <v>2</v>
      </c>
      <c r="B42" s="541" t="str">
        <f>IF(CalcA!$L22,B3,"")</f>
        <v/>
      </c>
      <c r="C42" s="540" t="str">
        <f>IF(CalcA!$L22,C3,"")</f>
        <v/>
      </c>
      <c r="D42" s="69" t="s">
        <v>3</v>
      </c>
      <c r="E42" s="539" t="str">
        <f>IF(CalcB!$L22,E3,"")</f>
        <v/>
      </c>
      <c r="F42" s="540" t="str">
        <f>IF(CalcB!$L22,F3,"")</f>
        <v/>
      </c>
      <c r="G42" s="69" t="s">
        <v>4</v>
      </c>
      <c r="H42" s="539" t="str">
        <f>IF(CalcC!$L22,H3,"")</f>
        <v/>
      </c>
      <c r="I42" s="540" t="str">
        <f>IF(CalcC!$L22,I3,"")</f>
        <v/>
      </c>
      <c r="J42" s="69" t="s">
        <v>5</v>
      </c>
      <c r="K42" s="539" t="str">
        <f>IF(CalcD!$L22,K3,"")</f>
        <v/>
      </c>
      <c r="L42" s="540" t="str">
        <f>IF(CalcD!$L22,L3,"")</f>
        <v/>
      </c>
      <c r="M42" s="69" t="s">
        <v>6</v>
      </c>
      <c r="N42" s="539" t="str">
        <f>IF(CalcE!$L22,N3,"")</f>
        <v/>
      </c>
      <c r="O42" s="540" t="str">
        <f>IF(CalcE!$L22,O3,"")</f>
        <v/>
      </c>
      <c r="P42" s="69" t="s">
        <v>7</v>
      </c>
      <c r="Q42" s="539" t="str">
        <f>IF(CalcF!$L22,Q3,"")</f>
        <v/>
      </c>
      <c r="R42" s="540" t="str">
        <f>IF(CalcF!$L22,R3,"")</f>
        <v/>
      </c>
      <c r="S42" s="69" t="s">
        <v>93</v>
      </c>
      <c r="T42" s="539" t="str">
        <f>IF(CalcG!$L22,T3,"")</f>
        <v/>
      </c>
      <c r="U42" s="540" t="str">
        <f>IF(CalcG!$L22,U3,"")</f>
        <v/>
      </c>
      <c r="V42" s="69" t="s">
        <v>96</v>
      </c>
      <c r="W42" s="539" t="str">
        <f>IF(CalcH!$L22,W3,"")</f>
        <v/>
      </c>
      <c r="X42" s="540" t="str">
        <f>IF(CalcH!$L22,X3,"")</f>
        <v/>
      </c>
      <c r="Y42" s="69" t="s">
        <v>855</v>
      </c>
      <c r="Z42" s="539" t="str">
        <f>IF(CalcI!$L22,Z3,"")</f>
        <v/>
      </c>
      <c r="AA42" s="540" t="str">
        <f>IF(CalcI!$L22,AA3,"")</f>
        <v/>
      </c>
      <c r="AB42" s="69" t="s">
        <v>858</v>
      </c>
      <c r="AC42" s="539" t="str">
        <f>IF(CalcJ!$L22,AC3,"")</f>
        <v/>
      </c>
      <c r="AD42" s="540" t="str">
        <f>IF(CalcJ!$L22,AD3,"")</f>
        <v/>
      </c>
      <c r="AE42" s="69" t="s">
        <v>861</v>
      </c>
      <c r="AF42" s="539" t="str">
        <f>IF(CalcK!$L22,AF3,"")</f>
        <v/>
      </c>
      <c r="AG42" s="540" t="str">
        <f>IF(CalcK!$L22,AG3,"")</f>
        <v/>
      </c>
      <c r="AH42" s="69" t="s">
        <v>864</v>
      </c>
      <c r="AI42" s="539" t="str">
        <f>IF(CalcL!$L22,AI3,"")</f>
        <v/>
      </c>
      <c r="AJ42" s="540" t="str">
        <f>IF(CalcL!$L22,AJ3,"")</f>
        <v/>
      </c>
      <c r="AK42" s="69"/>
      <c r="AL42" s="456" t="str">
        <f>IF(OR(ThirdPlaced!$D27&gt;0,ThirdPlaced!$G27&gt;0),ThirdPlaced!$C27,"")</f>
        <v/>
      </c>
      <c r="AM42" s="457" t="str">
        <f>IF(AL42&lt;&gt;"","   "&amp;ThirdPlaced!$D27&amp;"        "&amp;ThirdPlaced!$F27&amp;Language!$E$197&amp;ThirdPlaced!$G27,"")</f>
        <v/>
      </c>
      <c r="AN42" s="458" t="str">
        <f>IF(AL42&lt;&gt;"",ThirdPlaced!$I27,"")</f>
        <v/>
      </c>
      <c r="AR42" s="363"/>
      <c r="AS42" s="363"/>
      <c r="AT42" s="69"/>
      <c r="AU42" s="363"/>
      <c r="AV42" s="363"/>
    </row>
    <row r="43" spans="1:48" ht="15" thickBot="1">
      <c r="A43" s="69" t="s">
        <v>8</v>
      </c>
      <c r="B43" s="539" t="str">
        <f>IF(CalcA!$L23,B4,"")</f>
        <v/>
      </c>
      <c r="C43" s="540" t="str">
        <f>IF(CalcA!$L23,C4,"")</f>
        <v/>
      </c>
      <c r="D43" s="69" t="s">
        <v>9</v>
      </c>
      <c r="E43" s="539" t="str">
        <f>IF(CalcB!$L23,E4,"")</f>
        <v/>
      </c>
      <c r="F43" s="540" t="str">
        <f>IF(CalcB!$L23,F4,"")</f>
        <v/>
      </c>
      <c r="G43" s="69" t="s">
        <v>10</v>
      </c>
      <c r="H43" s="539" t="str">
        <f>IF(CalcC!$L23,H4,"")</f>
        <v/>
      </c>
      <c r="I43" s="540" t="str">
        <f>IF(CalcC!$L23,I4,"")</f>
        <v/>
      </c>
      <c r="J43" s="69" t="s">
        <v>11</v>
      </c>
      <c r="K43" s="539" t="str">
        <f>IF(CalcD!$L23,K4,"")</f>
        <v/>
      </c>
      <c r="L43" s="540" t="str">
        <f>IF(CalcD!$L23,L4,"")</f>
        <v/>
      </c>
      <c r="M43" s="69" t="s">
        <v>12</v>
      </c>
      <c r="N43" s="539" t="str">
        <f>IF(CalcE!$L23,N4,"")</f>
        <v/>
      </c>
      <c r="O43" s="540" t="str">
        <f>IF(CalcE!$L23,O4,"")</f>
        <v/>
      </c>
      <c r="P43" s="69" t="s">
        <v>13</v>
      </c>
      <c r="Q43" s="539" t="str">
        <f>IF(CalcF!$L23,Q4,"")</f>
        <v/>
      </c>
      <c r="R43" s="540" t="str">
        <f>IF(CalcF!$L23,R4,"")</f>
        <v/>
      </c>
      <c r="S43" s="69" t="s">
        <v>94</v>
      </c>
      <c r="T43" s="539" t="str">
        <f>IF(CalcG!$L23,T4,"")</f>
        <v/>
      </c>
      <c r="U43" s="540" t="str">
        <f>IF(CalcG!$L23,U4,"")</f>
        <v/>
      </c>
      <c r="V43" s="69" t="s">
        <v>97</v>
      </c>
      <c r="W43" s="539" t="str">
        <f>IF(CalcH!$L23,W4,"")</f>
        <v/>
      </c>
      <c r="X43" s="540" t="str">
        <f>IF(CalcH!$L23,X4,"")</f>
        <v/>
      </c>
      <c r="Y43" s="69" t="s">
        <v>856</v>
      </c>
      <c r="Z43" s="539" t="str">
        <f>IF(CalcI!$L23,Z4,"")</f>
        <v/>
      </c>
      <c r="AA43" s="540" t="str">
        <f>IF(CalcI!$L23,AA4,"")</f>
        <v/>
      </c>
      <c r="AB43" s="69" t="s">
        <v>859</v>
      </c>
      <c r="AC43" s="539" t="str">
        <f>IF(CalcJ!$L23,AC4,"")</f>
        <v/>
      </c>
      <c r="AD43" s="540" t="str">
        <f>IF(CalcJ!$L23,AD4,"")</f>
        <v/>
      </c>
      <c r="AE43" s="69" t="s">
        <v>862</v>
      </c>
      <c r="AF43" s="539" t="str">
        <f>IF(CalcK!$L23,AF4,"")</f>
        <v/>
      </c>
      <c r="AG43" s="540" t="str">
        <f>IF(CalcK!$L23,AG4,"")</f>
        <v/>
      </c>
      <c r="AH43" s="69" t="s">
        <v>865</v>
      </c>
      <c r="AI43" s="539" t="str">
        <f>IF(CalcL!$L23,AI4,"")</f>
        <v/>
      </c>
      <c r="AJ43" s="540" t="str">
        <f>IF(CalcL!$L23,AJ4,"")</f>
        <v/>
      </c>
      <c r="AK43" s="69"/>
      <c r="AL43" s="470" t="str">
        <f>IF(OR(ThirdPlaced!$D28&gt;0,ThirdPlaced!$G28&gt;0),ThirdPlaced!$C28,"")</f>
        <v/>
      </c>
      <c r="AM43" s="471" t="str">
        <f>IF(AL43&lt;&gt;"","   "&amp;ThirdPlaced!$D28&amp;"        "&amp;ThirdPlaced!$F28&amp;Language!$E$197&amp;ThirdPlaced!$G28,"")</f>
        <v/>
      </c>
      <c r="AN43" s="472" t="str">
        <f>IF(AL43&lt;&gt;"",ThirdPlaced!$I28,"")</f>
        <v/>
      </c>
      <c r="AR43" s="363"/>
      <c r="AS43" s="363"/>
      <c r="AT43" s="69"/>
      <c r="AU43" s="363"/>
      <c r="AV43" s="363"/>
    </row>
    <row r="44" spans="1:48">
      <c r="A44" s="70" t="s">
        <v>14</v>
      </c>
      <c r="B44" s="537" t="str">
        <f>IF(CalcA!$L24,B5,"")</f>
        <v/>
      </c>
      <c r="C44" s="538" t="str">
        <f>IF(CalcA!$L24,C5,"")</f>
        <v/>
      </c>
      <c r="D44" s="70" t="s">
        <v>15</v>
      </c>
      <c r="E44" s="537" t="str">
        <f>IF(CalcB!$L24,E5,"")</f>
        <v/>
      </c>
      <c r="F44" s="538" t="str">
        <f>IF(CalcB!$L24,F5,"")</f>
        <v/>
      </c>
      <c r="G44" s="70" t="s">
        <v>16</v>
      </c>
      <c r="H44" s="537" t="str">
        <f>IF(CalcC!$L24,H5,"")</f>
        <v/>
      </c>
      <c r="I44" s="538" t="str">
        <f>IF(CalcC!$L24,I5,"")</f>
        <v/>
      </c>
      <c r="J44" s="70" t="s">
        <v>17</v>
      </c>
      <c r="K44" s="537" t="str">
        <f>IF(CalcD!$L24,K5,"")</f>
        <v/>
      </c>
      <c r="L44" s="538" t="str">
        <f>IF(CalcD!$L24,L5,"")</f>
        <v/>
      </c>
      <c r="M44" s="70" t="s">
        <v>18</v>
      </c>
      <c r="N44" s="537" t="str">
        <f>IF(CalcE!$L24,N5,"")</f>
        <v/>
      </c>
      <c r="O44" s="538" t="str">
        <f>IF(CalcE!$L24,O5,"")</f>
        <v/>
      </c>
      <c r="P44" s="70" t="s">
        <v>19</v>
      </c>
      <c r="Q44" s="537" t="str">
        <f>IF(CalcF!$L24,Q5,"")</f>
        <v/>
      </c>
      <c r="R44" s="538" t="str">
        <f>IF(CalcF!$L24,R5,"")</f>
        <v/>
      </c>
      <c r="S44" s="70" t="s">
        <v>95</v>
      </c>
      <c r="T44" s="537" t="str">
        <f>IF(CalcG!$L24,T5,"")</f>
        <v/>
      </c>
      <c r="U44" s="538" t="str">
        <f>IF(CalcG!$L24,U5,"")</f>
        <v/>
      </c>
      <c r="V44" s="70" t="s">
        <v>98</v>
      </c>
      <c r="W44" s="537" t="str">
        <f>IF(CalcH!$L24,W5,"")</f>
        <v/>
      </c>
      <c r="X44" s="538" t="str">
        <f>IF(CalcH!$L24,X5,"")</f>
        <v/>
      </c>
      <c r="Y44" s="70" t="s">
        <v>857</v>
      </c>
      <c r="Z44" s="537" t="str">
        <f>IF(CalcI!$L24,Z5,"")</f>
        <v/>
      </c>
      <c r="AA44" s="538" t="str">
        <f>IF(CalcI!$L24,AA5,"")</f>
        <v/>
      </c>
      <c r="AB44" s="70" t="s">
        <v>860</v>
      </c>
      <c r="AC44" s="537" t="str">
        <f>IF(CalcJ!$L24,AC5,"")</f>
        <v/>
      </c>
      <c r="AD44" s="538" t="str">
        <f>IF(CalcJ!$L24,AD5,"")</f>
        <v/>
      </c>
      <c r="AE44" s="70" t="s">
        <v>863</v>
      </c>
      <c r="AF44" s="537" t="str">
        <f>IF(CalcK!$L24,AF5,"")</f>
        <v/>
      </c>
      <c r="AG44" s="538" t="str">
        <f>IF(CalcK!$L24,AG5,"")</f>
        <v/>
      </c>
      <c r="AH44" s="70" t="s">
        <v>866</v>
      </c>
      <c r="AI44" s="537" t="str">
        <f>IF(CalcL!$L24,AI5,"")</f>
        <v/>
      </c>
      <c r="AJ44" s="538" t="str">
        <f>IF(CalcL!$L24,AJ5,"")</f>
        <v/>
      </c>
      <c r="AK44" s="70"/>
      <c r="AL44" s="789" t="str">
        <f>Language!$E$182</f>
        <v>Groepscombinatie:</v>
      </c>
      <c r="AM44" s="790"/>
      <c r="AN44" s="791"/>
      <c r="AO44" s="363"/>
      <c r="AP44" s="363"/>
      <c r="AQ44" s="70"/>
      <c r="AR44" s="363"/>
      <c r="AS44" s="363"/>
      <c r="AT44" s="70"/>
      <c r="AU44" s="363"/>
      <c r="AV44" s="363"/>
    </row>
    <row r="45" spans="1:48">
      <c r="A45" s="70" t="s">
        <v>1630</v>
      </c>
      <c r="B45" s="537" t="str">
        <f>IF(CalcA!$L25,B6,"")</f>
        <v/>
      </c>
      <c r="C45" s="538" t="str">
        <f>IF(CalcA!$L25,C6,"")</f>
        <v/>
      </c>
      <c r="D45" s="70" t="s">
        <v>1631</v>
      </c>
      <c r="E45" s="537" t="str">
        <f>IF(CalcB!$L25,E6,"")</f>
        <v/>
      </c>
      <c r="F45" s="538" t="str">
        <f>IF(CalcB!$L25,F6,"")</f>
        <v/>
      </c>
      <c r="G45" s="70" t="s">
        <v>1632</v>
      </c>
      <c r="H45" s="537" t="str">
        <f>IF(CalcC!$L25,H6,"")</f>
        <v/>
      </c>
      <c r="I45" s="538" t="str">
        <f>IF(CalcC!$L25,I6,"")</f>
        <v/>
      </c>
      <c r="J45" s="70" t="s">
        <v>1633</v>
      </c>
      <c r="K45" s="537" t="str">
        <f>IF(CalcD!$L25,K6,"")</f>
        <v/>
      </c>
      <c r="L45" s="538" t="str">
        <f>IF(CalcD!$L25,L6,"")</f>
        <v/>
      </c>
      <c r="M45" s="70" t="s">
        <v>1634</v>
      </c>
      <c r="N45" s="537" t="str">
        <f>IF(CalcE!$L25,N6,"")</f>
        <v/>
      </c>
      <c r="O45" s="538" t="str">
        <f>IF(CalcE!$L25,O6,"")</f>
        <v/>
      </c>
      <c r="P45" s="70" t="s">
        <v>1635</v>
      </c>
      <c r="Q45" s="537" t="str">
        <f>IF(CalcF!$L25,Q6,"")</f>
        <v/>
      </c>
      <c r="R45" s="538" t="str">
        <f>IF(CalcF!$L25,R6,"")</f>
        <v/>
      </c>
      <c r="S45" s="70" t="s">
        <v>1636</v>
      </c>
      <c r="T45" s="537" t="str">
        <f>IF(CalcG!$L25,T6,"")</f>
        <v/>
      </c>
      <c r="U45" s="538" t="str">
        <f>IF(CalcG!$L25,U6,"")</f>
        <v/>
      </c>
      <c r="V45" s="70" t="s">
        <v>1637</v>
      </c>
      <c r="W45" s="537" t="str">
        <f>IF(CalcH!$L25,W6,"")</f>
        <v/>
      </c>
      <c r="X45" s="538" t="str">
        <f>IF(CalcH!$L25,X6,"")</f>
        <v/>
      </c>
      <c r="Y45" s="70" t="s">
        <v>1638</v>
      </c>
      <c r="Z45" s="537" t="str">
        <f>IF(CalcI!$L25,Z6,"")</f>
        <v/>
      </c>
      <c r="AA45" s="538" t="str">
        <f>IF(CalcI!$L25,AA6,"")</f>
        <v/>
      </c>
      <c r="AB45" s="70" t="s">
        <v>1639</v>
      </c>
      <c r="AC45" s="537" t="str">
        <f>IF(CalcJ!$L25,AC6,"")</f>
        <v/>
      </c>
      <c r="AD45" s="538" t="str">
        <f>IF(CalcJ!$L25,AD6,"")</f>
        <v/>
      </c>
      <c r="AE45" s="70" t="s">
        <v>1640</v>
      </c>
      <c r="AF45" s="537" t="str">
        <f>IF(CalcK!$L25,AF6,"")</f>
        <v/>
      </c>
      <c r="AG45" s="538" t="str">
        <f>IF(CalcK!$L25,AG6,"")</f>
        <v/>
      </c>
      <c r="AH45" s="70" t="s">
        <v>1641</v>
      </c>
      <c r="AI45" s="537" t="str">
        <f>IF(CalcL!$L25,AI6,"")</f>
        <v/>
      </c>
      <c r="AJ45" s="538" t="str">
        <f>IF(CalcL!$L25,AJ6,"")</f>
        <v/>
      </c>
      <c r="AK45" s="70"/>
      <c r="AL45" s="792" t="str">
        <f>IF(Distinctness!$G$17&gt;0,ThirdPlaced!$I30,"")</f>
        <v/>
      </c>
      <c r="AM45" s="793"/>
      <c r="AN45" s="794"/>
      <c r="AO45" s="363"/>
      <c r="AP45" s="363"/>
      <c r="AQ45" s="70"/>
      <c r="AR45" s="363"/>
      <c r="AS45" s="363"/>
      <c r="AT45" s="70"/>
      <c r="AU45" s="363"/>
      <c r="AV45" s="363"/>
    </row>
    <row r="46" spans="1:48" ht="33" customHeight="1"/>
    <row r="47" spans="1:48" ht="16" thickBot="1">
      <c r="B47" s="802" t="str">
        <f>VLOOKUP(VLOOKUP(A48,Matches!$B$77:$K$92,10,0),Language!$D$142:$E$157,2,0)</f>
        <v>ronde van 32 - 3</v>
      </c>
      <c r="C47" s="803"/>
      <c r="E47" s="802" t="str">
        <f>VLOOKUP(VLOOKUP(D48,Matches!$B$77:$K$92,10,0),Language!$D$142:$E$157,2,0)</f>
        <v>ronde van 32 - 6</v>
      </c>
      <c r="F47" s="803"/>
      <c r="H47" s="802" t="str">
        <f>VLOOKUP(VLOOKUP(G48,Matches!$B$77:$K$92,10,0),Language!$D$142:$E$157,2,0)</f>
        <v>ronde van 32 - 1</v>
      </c>
      <c r="I47" s="803"/>
      <c r="K47" s="802" t="str">
        <f>VLOOKUP(VLOOKUP(J48,Matches!$B$77:$K$92,10,0),Language!$D$142:$E$157,2,0)</f>
        <v>ronde van 32 - 4</v>
      </c>
      <c r="L47" s="803"/>
      <c r="N47" s="802" t="str">
        <f>VLOOKUP(VLOOKUP(M48,Matches!$B$77:$K$92,10,0),Language!$D$142:$E$157,2,0)</f>
        <v>ronde van 32 - 12</v>
      </c>
      <c r="O47" s="803"/>
      <c r="Q47" s="802" t="str">
        <f>VLOOKUP(VLOOKUP(P48,Matches!$B$77:$K$92,10,0),Language!$D$142:$E$157,2,0)</f>
        <v>ronde van 32 - 11</v>
      </c>
      <c r="R47" s="803"/>
      <c r="T47" s="802" t="str">
        <f>VLOOKUP(VLOOKUP(S48,Matches!$B$77:$K$92,10,0),Language!$D$142:$E$157,2,0)</f>
        <v>ronde van 32 - 10</v>
      </c>
      <c r="U47" s="803"/>
      <c r="W47" s="802" t="str">
        <f>VLOOKUP(VLOOKUP(V48,Matches!$B$77:$K$92,10,0),Language!$D$142:$E$157,2,0)</f>
        <v>ronde van 32 - 9</v>
      </c>
      <c r="X47" s="803"/>
      <c r="Z47" s="802" t="str">
        <f>VLOOKUP(VLOOKUP(Y48,Matches!$B$77:$K$92,10,0),Language!$D$142:$E$157,2,0)</f>
        <v>ronde van 32 - 2</v>
      </c>
      <c r="AA47" s="803"/>
      <c r="AC47" s="802" t="str">
        <f>VLOOKUP(VLOOKUP(AB48,Matches!$B$77:$K$92,10,0),Language!$D$142:$E$157,2,0)</f>
        <v>ronde van 32 - 5</v>
      </c>
      <c r="AD47" s="803"/>
      <c r="AF47" s="802" t="str">
        <f>VLOOKUP(VLOOKUP(AE48,Matches!$B$77:$K$92,10,0),Language!$D$142:$E$157,2,0)</f>
        <v>ronde van 32 - 7</v>
      </c>
      <c r="AG47" s="803"/>
      <c r="AI47" s="802" t="str">
        <f>VLOOKUP(VLOOKUP(AH48,Matches!$B$77:$K$92,10,0),Language!$D$142:$E$157,2,0)</f>
        <v>ronde van 32 - 8</v>
      </c>
      <c r="AJ47" s="803"/>
      <c r="AL47" s="802" t="str">
        <f>VLOOKUP(VLOOKUP(AK48,Matches!$B$77:$K$92,10,0),Language!$D$142:$E$157,2,0)</f>
        <v>ronde van 32 - 15</v>
      </c>
      <c r="AM47" s="803"/>
      <c r="AO47" s="802" t="str">
        <f>VLOOKUP(VLOOKUP(AN48,Matches!$B$77:$K$92,10,0),Language!$D$142:$E$157,2,0)</f>
        <v>ronde van 32 - 14</v>
      </c>
      <c r="AP47" s="803"/>
      <c r="AR47" s="802" t="str">
        <f>VLOOKUP(VLOOKUP(AQ48,Matches!$B$77:$K$92,10,0),Language!$D$142:$E$157,2,0)</f>
        <v>ronde van 32 - 13</v>
      </c>
      <c r="AS47" s="803"/>
      <c r="AU47" s="802" t="str">
        <f>VLOOKUP(VLOOKUP(AT48,Matches!$B$77:$K$92,10,0),Language!$D$142:$E$157,2,0)</f>
        <v>ronde van 32 - 16</v>
      </c>
      <c r="AV47" s="803"/>
    </row>
    <row r="48" spans="1:48">
      <c r="A48" s="73">
        <f>RIGHT($B$64,2)*1</f>
        <v>74</v>
      </c>
      <c r="B48" s="799" t="str">
        <f>VLOOKUP(A48,Matches!$B$4:$K$113,7,0)</f>
        <v>Boston</v>
      </c>
      <c r="C48" s="800"/>
      <c r="D48" s="73">
        <f>RIGHT($C$64,2)*1</f>
        <v>77</v>
      </c>
      <c r="E48" s="799" t="str">
        <f>VLOOKUP(D48,Matches!$B$4:$K$113,7,0)</f>
        <v>New York/New Jersey</v>
      </c>
      <c r="F48" s="800"/>
      <c r="G48" s="73">
        <f>RIGHT($E$64,2)*1</f>
        <v>73</v>
      </c>
      <c r="H48" s="799" t="str">
        <f>VLOOKUP(G48,Matches!$B$4:$K$113,7,0)</f>
        <v>Los Angeles</v>
      </c>
      <c r="I48" s="800"/>
      <c r="J48" s="73">
        <f>RIGHT($F$64,2)*1</f>
        <v>75</v>
      </c>
      <c r="K48" s="799" t="str">
        <f>VLOOKUP(J48,Matches!$B$4:$K$113,7,0)</f>
        <v>Monterrey</v>
      </c>
      <c r="L48" s="800"/>
      <c r="M48" s="73">
        <f>RIGHT($H$64,2)*1</f>
        <v>83</v>
      </c>
      <c r="N48" s="799" t="str">
        <f>VLOOKUP(M48,Matches!$B$4:$K$113,7,0)</f>
        <v>Toronto</v>
      </c>
      <c r="O48" s="800"/>
      <c r="P48" s="73">
        <f>RIGHT($I$64,2)*1</f>
        <v>84</v>
      </c>
      <c r="Q48" s="799" t="str">
        <f>VLOOKUP(P48,Matches!$B$4:$K$113,7,0)</f>
        <v>Los Angeles</v>
      </c>
      <c r="R48" s="800"/>
      <c r="S48" s="73">
        <f>RIGHT($K$64,2)*1</f>
        <v>81</v>
      </c>
      <c r="T48" s="799" t="str">
        <f>VLOOKUP(S48,Matches!$B$4:$K$113,7,0)</f>
        <v>San Francisco Bay Area</v>
      </c>
      <c r="U48" s="800"/>
      <c r="V48" s="73">
        <f>RIGHT($L$64,2)*1</f>
        <v>82</v>
      </c>
      <c r="W48" s="799" t="str">
        <f>VLOOKUP(V48,Matches!$B$4:$K$113,7,0)</f>
        <v>Seattle</v>
      </c>
      <c r="X48" s="800"/>
      <c r="Y48" s="73">
        <f>RIGHT($N$64,2)*1</f>
        <v>76</v>
      </c>
      <c r="Z48" s="799" t="str">
        <f>VLOOKUP(Y48,Matches!$B$4:$K$113,7,0)</f>
        <v>Houston</v>
      </c>
      <c r="AA48" s="800"/>
      <c r="AB48" s="73">
        <f>RIGHT($O$64,2)*1</f>
        <v>78</v>
      </c>
      <c r="AC48" s="799" t="str">
        <f>VLOOKUP(AB48,Matches!$B$4:$K$113,7,0)</f>
        <v>Dallas</v>
      </c>
      <c r="AD48" s="800"/>
      <c r="AE48" s="73">
        <f>RIGHT($Q$64,2)*1</f>
        <v>79</v>
      </c>
      <c r="AF48" s="799" t="str">
        <f>VLOOKUP(AE48,Matches!$B$4:$K$113,7,0)</f>
        <v>Mexico City</v>
      </c>
      <c r="AG48" s="800"/>
      <c r="AH48" s="73">
        <f>RIGHT($R$64,2)*1</f>
        <v>80</v>
      </c>
      <c r="AI48" s="799" t="str">
        <f>VLOOKUP(AH48,Matches!$B$4:$K$113,7,0)</f>
        <v>Atlanta</v>
      </c>
      <c r="AJ48" s="800"/>
      <c r="AK48" s="73">
        <f>RIGHT($T$64,2)*1</f>
        <v>86</v>
      </c>
      <c r="AL48" s="799" t="str">
        <f>VLOOKUP(AK48,Matches!$B$4:$K$113,7,0)</f>
        <v>Miami</v>
      </c>
      <c r="AM48" s="800"/>
      <c r="AN48" s="73">
        <f>RIGHT($U$64,2)*1</f>
        <v>88</v>
      </c>
      <c r="AO48" s="799" t="str">
        <f>VLOOKUP(AN48,Matches!$B$4:$K$113,7,0)</f>
        <v>Dallas</v>
      </c>
      <c r="AP48" s="800"/>
      <c r="AQ48" s="73">
        <f>RIGHT($W$64,2)*1</f>
        <v>85</v>
      </c>
      <c r="AR48" s="799" t="str">
        <f>VLOOKUP(AQ48,Matches!$B$4:$K$113,7,0)</f>
        <v>Vancouver</v>
      </c>
      <c r="AS48" s="800"/>
      <c r="AT48" s="73">
        <f>RIGHT($X$64,2)*1</f>
        <v>87</v>
      </c>
      <c r="AU48" s="799" t="str">
        <f>VLOOKUP(AT48,Matches!$B$4:$K$113,7,0)</f>
        <v>Kansas City</v>
      </c>
      <c r="AV48" s="800"/>
    </row>
    <row r="49" spans="1:49">
      <c r="B49" s="797">
        <f>VLOOKUP(A48,Matches!$B$4:$K$113,5,0)</f>
        <v>46202.9375</v>
      </c>
      <c r="C49" s="798"/>
      <c r="E49" s="797">
        <f>VLOOKUP(D48,Matches!$B$4:$K$113,5,0)</f>
        <v>46203.958333333336</v>
      </c>
      <c r="F49" s="798"/>
      <c r="H49" s="797">
        <f>VLOOKUP(G48,Matches!$B$4:$K$113,5,0)</f>
        <v>46201.875</v>
      </c>
      <c r="I49" s="798"/>
      <c r="K49" s="797">
        <f>VLOOKUP(J48,Matches!$B$4:$K$113,5,0)</f>
        <v>46203.125</v>
      </c>
      <c r="L49" s="798"/>
      <c r="N49" s="797">
        <f>VLOOKUP(M48,Matches!$B$4:$K$113,5,0)</f>
        <v>46206.041666666664</v>
      </c>
      <c r="O49" s="798"/>
      <c r="Q49" s="797">
        <f>VLOOKUP(P48,Matches!$B$4:$K$113,5,0)</f>
        <v>46205.875</v>
      </c>
      <c r="R49" s="798"/>
      <c r="T49" s="797">
        <f>VLOOKUP(S48,Matches!$B$4:$K$113,5,0)</f>
        <v>46205.083333333336</v>
      </c>
      <c r="U49" s="798"/>
      <c r="V49" s="6"/>
      <c r="W49" s="797">
        <f>VLOOKUP(V48,Matches!$B$4:$K$113,5,0)</f>
        <v>46204.916666666664</v>
      </c>
      <c r="X49" s="798"/>
      <c r="Z49" s="797">
        <f>VLOOKUP(Y48,Matches!$B$4:$K$113,5,0)</f>
        <v>46202.791666666664</v>
      </c>
      <c r="AA49" s="798"/>
      <c r="AC49" s="797">
        <f>VLOOKUP(AB48,Matches!$B$4:$K$113,5,0)</f>
        <v>46203.791666666664</v>
      </c>
      <c r="AD49" s="798"/>
      <c r="AF49" s="797">
        <f>VLOOKUP(AE48,Matches!$B$4:$K$113,5,0)</f>
        <v>46204.125</v>
      </c>
      <c r="AG49" s="798"/>
      <c r="AI49" s="797">
        <f>VLOOKUP(AH48,Matches!$B$4:$K$113,5,0)</f>
        <v>46204.75</v>
      </c>
      <c r="AJ49" s="798"/>
      <c r="AL49" s="797">
        <f>VLOOKUP(AK48,Matches!$B$4:$K$113,5,0)</f>
        <v>46207</v>
      </c>
      <c r="AM49" s="798"/>
      <c r="AO49" s="797">
        <f>VLOOKUP(AN48,Matches!$B$4:$K$113,5,0)</f>
        <v>46206.833333333336</v>
      </c>
      <c r="AP49" s="798"/>
      <c r="AR49" s="797">
        <f>VLOOKUP(AQ48,Matches!$B$4:$K$113,5,0)</f>
        <v>46206.208333333336</v>
      </c>
      <c r="AS49" s="798"/>
      <c r="AT49" s="6"/>
      <c r="AU49" s="797">
        <f>VLOOKUP(AT48,Matches!$B$4:$K$113,5,0)</f>
        <v>46207.145833333336</v>
      </c>
      <c r="AV49" s="798"/>
    </row>
    <row r="50" spans="1:49">
      <c r="B50" s="34" t="str">
        <f>VLOOKUP(A48,Matches!$B$4:$K$113,8,0)</f>
        <v/>
      </c>
      <c r="C50" s="35" t="str">
        <f>VLOOKUP(A48,Matches!$B$4:$K$113,9,0)</f>
        <v/>
      </c>
      <c r="E50" s="34" t="str">
        <f>VLOOKUP(D48,Matches!$B$4:$K$113,8,0)</f>
        <v/>
      </c>
      <c r="F50" s="35" t="str">
        <f>VLOOKUP(D48,Matches!$B$4:$K$113,9,0)</f>
        <v/>
      </c>
      <c r="H50" s="34" t="str">
        <f>VLOOKUP(G48,Matches!$B$4:$K$113,8,0)</f>
        <v/>
      </c>
      <c r="I50" s="35" t="str">
        <f>VLOOKUP(G48,Matches!$B$4:$K$113,9,0)</f>
        <v/>
      </c>
      <c r="K50" s="34" t="str">
        <f>VLOOKUP(J48,Matches!$B$4:$K$113,8,0)</f>
        <v/>
      </c>
      <c r="L50" s="35" t="str">
        <f>VLOOKUP(J48,Matches!$B$4:$K$113,9,0)</f>
        <v/>
      </c>
      <c r="N50" s="34" t="str">
        <f>VLOOKUP(M48,Matches!$B$4:$K$113,8,0)</f>
        <v/>
      </c>
      <c r="O50" s="35" t="str">
        <f>VLOOKUP(M48,Matches!$B$4:$K$113,9,0)</f>
        <v/>
      </c>
      <c r="Q50" s="34" t="str">
        <f>VLOOKUP(P48,Matches!$B$4:$K$113,8,0)</f>
        <v/>
      </c>
      <c r="R50" s="35" t="str">
        <f>VLOOKUP(P48,Matches!$B$4:$K$113,9,0)</f>
        <v/>
      </c>
      <c r="T50" s="34" t="str">
        <f>VLOOKUP(S48,Matches!$B$4:$K$113,8,0)</f>
        <v/>
      </c>
      <c r="U50" s="35" t="str">
        <f>VLOOKUP(S48,Matches!$B$4:$K$113,9,0)</f>
        <v/>
      </c>
      <c r="W50" s="34" t="str">
        <f>VLOOKUP(V48,Matches!$B$4:$K$113,8,0)</f>
        <v/>
      </c>
      <c r="X50" s="35" t="str">
        <f>VLOOKUP(V48,Matches!$B$4:$K$113,9,0)</f>
        <v/>
      </c>
      <c r="Z50" s="34" t="str">
        <f>VLOOKUP(Y48,Matches!$B$4:$K$113,8,0)</f>
        <v/>
      </c>
      <c r="AA50" s="35" t="str">
        <f>VLOOKUP(Y48,Matches!$B$4:$K$113,9,0)</f>
        <v/>
      </c>
      <c r="AC50" s="34" t="str">
        <f>VLOOKUP(AB48,Matches!$B$4:$K$113,8,0)</f>
        <v/>
      </c>
      <c r="AD50" s="35" t="str">
        <f>VLOOKUP(AB48,Matches!$B$4:$K$113,9,0)</f>
        <v/>
      </c>
      <c r="AF50" s="34" t="str">
        <f>VLOOKUP(AE48,Matches!$B$4:$K$113,8,0)</f>
        <v/>
      </c>
      <c r="AG50" s="35" t="str">
        <f>VLOOKUP(AE48,Matches!$B$4:$K$113,9,0)</f>
        <v/>
      </c>
      <c r="AI50" s="34" t="str">
        <f>VLOOKUP(AH48,Matches!$B$4:$K$113,8,0)</f>
        <v/>
      </c>
      <c r="AJ50" s="35" t="str">
        <f>VLOOKUP(AH48,Matches!$B$4:$K$113,9,0)</f>
        <v/>
      </c>
      <c r="AL50" s="34" t="str">
        <f>VLOOKUP(AK48,Matches!$B$4:$K$113,8,0)</f>
        <v/>
      </c>
      <c r="AM50" s="35" t="str">
        <f>VLOOKUP(AK48,Matches!$B$4:$K$113,9,0)</f>
        <v/>
      </c>
      <c r="AO50" s="34" t="str">
        <f>VLOOKUP(AN48,Matches!$B$4:$K$113,8,0)</f>
        <v/>
      </c>
      <c r="AP50" s="35" t="str">
        <f>VLOOKUP(AN48,Matches!$B$4:$K$113,9,0)</f>
        <v/>
      </c>
      <c r="AR50" s="34" t="str">
        <f>VLOOKUP(AQ48,Matches!$B$4:$K$113,8,0)</f>
        <v/>
      </c>
      <c r="AS50" s="35" t="str">
        <f>VLOOKUP(AQ48,Matches!$B$4:$K$113,9,0)</f>
        <v/>
      </c>
      <c r="AU50" s="34" t="str">
        <f>VLOOKUP(AT48,Matches!$B$4:$K$113,8,0)</f>
        <v/>
      </c>
      <c r="AV50" s="35" t="str">
        <f>VLOOKUP(AT48,Matches!$B$4:$K$113,9,0)</f>
        <v/>
      </c>
    </row>
    <row r="51" spans="1:49" ht="15" thickBot="1">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10" customHeight="1">
      <c r="B52" s="830" t="str">
        <f>Language!$E$175</f>
        <v>Penalties:</v>
      </c>
      <c r="C52" s="831"/>
      <c r="E52" s="830" t="str">
        <f>Language!$E$175</f>
        <v>Penalties:</v>
      </c>
      <c r="F52" s="831"/>
      <c r="H52" s="830" t="str">
        <f>Language!$E$175</f>
        <v>Penalties:</v>
      </c>
      <c r="I52" s="831"/>
      <c r="K52" s="830" t="str">
        <f>Language!$E$175</f>
        <v>Penalties:</v>
      </c>
      <c r="L52" s="831"/>
      <c r="N52" s="830" t="str">
        <f>Language!$E$175</f>
        <v>Penalties:</v>
      </c>
      <c r="O52" s="831"/>
      <c r="Q52" s="830" t="str">
        <f>Language!$E$175</f>
        <v>Penalties:</v>
      </c>
      <c r="R52" s="831"/>
      <c r="T52" s="830" t="str">
        <f>Language!$E$175</f>
        <v>Penalties:</v>
      </c>
      <c r="U52" s="831"/>
      <c r="W52" s="830" t="str">
        <f>Language!$E$175</f>
        <v>Penalties:</v>
      </c>
      <c r="X52" s="831"/>
      <c r="Z52" s="830" t="str">
        <f>Language!$E$175</f>
        <v>Penalties:</v>
      </c>
      <c r="AA52" s="831"/>
      <c r="AC52" s="830" t="str">
        <f>Language!$E$175</f>
        <v>Penalties:</v>
      </c>
      <c r="AD52" s="831"/>
      <c r="AF52" s="830" t="str">
        <f>Language!$E$175</f>
        <v>Penalties:</v>
      </c>
      <c r="AG52" s="831"/>
      <c r="AI52" s="830" t="str">
        <f>Language!$E$175</f>
        <v>Penalties:</v>
      </c>
      <c r="AJ52" s="831"/>
      <c r="AL52" s="805" t="str">
        <f>Language!$E$175</f>
        <v>Penalties:</v>
      </c>
      <c r="AM52" s="806"/>
      <c r="AO52" s="805" t="str">
        <f>Language!$E$175</f>
        <v>Penalties:</v>
      </c>
      <c r="AP52" s="806"/>
      <c r="AR52" s="805" t="str">
        <f>Language!$E$175</f>
        <v>Penalties:</v>
      </c>
      <c r="AS52" s="806"/>
      <c r="AU52" s="805" t="str">
        <f>Language!$E$175</f>
        <v>Penalties:</v>
      </c>
      <c r="AV52" s="806"/>
    </row>
    <row r="53" spans="1:49" ht="15" thickBot="1">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c r="A55" s="9"/>
      <c r="B55" s="804" t="str">
        <f>IF(AND(B51&lt;&gt;"",C51&lt;&gt;"",B51=C51,B53&lt;&gt;"",C53&lt;&gt;"",B53=C53),Language!$E$192,"")</f>
        <v/>
      </c>
      <c r="C55" s="804"/>
      <c r="D55" s="10"/>
      <c r="E55" s="804" t="str">
        <f>IF(AND(E51&lt;&gt;"",F51&lt;&gt;"",E51=F51,E53&lt;&gt;"",F53&lt;&gt;"",E53=F53),Language!$E$192,"")</f>
        <v/>
      </c>
      <c r="F55" s="804"/>
      <c r="G55" s="10"/>
      <c r="H55" s="804" t="str">
        <f>IF(AND(H51&lt;&gt;"",I51&lt;&gt;"",H51=I51,H53&lt;&gt;"",I53&lt;&gt;"",H53=I53),Language!$E$192,"")</f>
        <v/>
      </c>
      <c r="I55" s="804"/>
      <c r="J55" s="10"/>
      <c r="K55" s="804" t="str">
        <f>IF(AND(K51&lt;&gt;"",L51&lt;&gt;"",K51=L51,K53&lt;&gt;"",L53&lt;&gt;"",K53=L53),Language!$E$192,"")</f>
        <v/>
      </c>
      <c r="L55" s="804"/>
      <c r="M55" s="10"/>
      <c r="N55" s="804" t="str">
        <f>IF(AND(N51&lt;&gt;"",O51&lt;&gt;"",N51=O51,N53&lt;&gt;"",O53&lt;&gt;"",N53=O53),Language!$E$192,"")</f>
        <v/>
      </c>
      <c r="O55" s="804"/>
      <c r="P55" s="10"/>
      <c r="Q55" s="804" t="str">
        <f>IF(AND(Q51&lt;&gt;"",R51&lt;&gt;"",Q51=R51,Q53&lt;&gt;"",R53&lt;&gt;"",Q53=R53),Language!$E$192,"")</f>
        <v/>
      </c>
      <c r="R55" s="804"/>
      <c r="S55" s="10"/>
      <c r="T55" s="804" t="str">
        <f>IF(AND(T51&lt;&gt;"",U51&lt;&gt;"",T51=U51,T53&lt;&gt;"",U53&lt;&gt;"",T53=U53),Language!$E$192,"")</f>
        <v/>
      </c>
      <c r="U55" s="804"/>
      <c r="V55" s="10"/>
      <c r="W55" s="804" t="str">
        <f>IF(AND(W51&lt;&gt;"",X51&lt;&gt;"",W51=X51,W53&lt;&gt;"",X53&lt;&gt;"",W53=X53),Language!$E$192,"")</f>
        <v/>
      </c>
      <c r="X55" s="804"/>
      <c r="Y55" s="9"/>
      <c r="Z55" s="804" t="str">
        <f>IF(AND(Z51&lt;&gt;"",AA51&lt;&gt;"",Z51=AA51,Z53&lt;&gt;"",AA53&lt;&gt;"",Z53=AA53),Language!$E$192,"")</f>
        <v/>
      </c>
      <c r="AA55" s="804"/>
      <c r="AB55" s="10"/>
      <c r="AC55" s="804" t="str">
        <f>IF(AND(AC51&lt;&gt;"",AD51&lt;&gt;"",AC51=AD51,AC53&lt;&gt;"",AD53&lt;&gt;"",AC53=AD53),Language!$E$192,"")</f>
        <v/>
      </c>
      <c r="AD55" s="804"/>
      <c r="AE55" s="10"/>
      <c r="AF55" s="804" t="str">
        <f>IF(AND(AF51&lt;&gt;"",AG51&lt;&gt;"",AF51=AG51,AF53&lt;&gt;"",AG53&lt;&gt;"",AF53=AG53),Language!$E$192,"")</f>
        <v/>
      </c>
      <c r="AG55" s="804"/>
      <c r="AH55" s="10"/>
      <c r="AI55" s="804" t="str">
        <f>IF(AND(AI51&lt;&gt;"",AJ51&lt;&gt;"",AI51=AJ51,AI53&lt;&gt;"",AJ53&lt;&gt;"",AI53=AJ53),Language!$E$192,"")</f>
        <v/>
      </c>
      <c r="AJ55" s="804"/>
      <c r="AK55" s="10"/>
      <c r="AL55" s="804" t="str">
        <f>IF(AND(AL51&lt;&gt;"",AM51&lt;&gt;"",AL51=AM51,AL53&lt;&gt;"",AM53&lt;&gt;"",AL53=AM53),Language!$E$192,"")</f>
        <v/>
      </c>
      <c r="AM55" s="804"/>
      <c r="AN55" s="10"/>
      <c r="AO55" s="804" t="str">
        <f>IF(AND(AO51&lt;&gt;"",AP51&lt;&gt;"",AO51=AP51,AO53&lt;&gt;"",AP53&lt;&gt;"",AO53=AP53),Language!$E$192,"")</f>
        <v/>
      </c>
      <c r="AP55" s="804"/>
      <c r="AQ55" s="10"/>
      <c r="AR55" s="804" t="str">
        <f>IF(AND(AR51&lt;&gt;"",AS51&lt;&gt;"",AR51=AS51,AR53&lt;&gt;"",AS53&lt;&gt;"",AR53=AS53),Language!$E$192,"")</f>
        <v/>
      </c>
      <c r="AS55" s="804"/>
      <c r="AT55" s="10"/>
      <c r="AU55" s="804" t="str">
        <f>IF(AND(AU51&lt;&gt;"",AV51&lt;&gt;"",AU51=AV51,AU53&lt;&gt;"",AV53&lt;&gt;"",AU53=AV53),Language!$E$192,"")</f>
        <v/>
      </c>
      <c r="AV55" s="804"/>
      <c r="AW55" s="9"/>
    </row>
    <row r="56" spans="1:49"/>
    <row r="57" spans="1:49" ht="16" thickBot="1">
      <c r="B57" s="832" t="str">
        <f>VLOOKUP(VLOOKUP(A58,Matches!$B$94:$K$101,10,0),Language!$D$158:$E$165,2,0)</f>
        <v>Achtste finale 2</v>
      </c>
      <c r="C57" s="833"/>
      <c r="E57" s="832" t="str">
        <f>VLOOKUP(VLOOKUP(D58,Matches!$B$94:$K$101,10,0),Language!$D$158:$E$165,2,0)</f>
        <v>Achtste finale 1</v>
      </c>
      <c r="F57" s="833"/>
      <c r="H57" s="832" t="str">
        <f>VLOOKUP(VLOOKUP(G58,Matches!$B$94:$K$101,10,0),Language!$D$158:$E$165,2,0)</f>
        <v>Achtste finale 5</v>
      </c>
      <c r="I57" s="833"/>
      <c r="K57" s="832" t="str">
        <f>VLOOKUP(VLOOKUP(J58,Matches!$B$94:$K$101,10,0),Language!$D$158:$E$165,2,0)</f>
        <v>Achtste finale 6</v>
      </c>
      <c r="L57" s="833"/>
      <c r="N57" s="832" t="str">
        <f>VLOOKUP(VLOOKUP(M58,Matches!$B$94:$K$101,10,0),Language!$D$158:$E$165,2,0)</f>
        <v>Achtste finale 3</v>
      </c>
      <c r="O57" s="833"/>
      <c r="Q57" s="832" t="str">
        <f>VLOOKUP(VLOOKUP(P58,Matches!$B$94:$K$101,10,0),Language!$D$158:$E$165,2,0)</f>
        <v>Achtste finale 4</v>
      </c>
      <c r="R57" s="833"/>
      <c r="T57" s="832" t="str">
        <f>VLOOKUP(VLOOKUP(S58,Matches!$B$94:$K$101,10,0),Language!$D$158:$E$165,2,0)</f>
        <v>Achtste finale 7</v>
      </c>
      <c r="U57" s="833"/>
      <c r="W57" s="832" t="str">
        <f>VLOOKUP(VLOOKUP(V58,Matches!$B$94:$K$101,10,0),Language!$D$158:$E$165,2,0)</f>
        <v>Achtste finale 8</v>
      </c>
      <c r="X57" s="833"/>
    </row>
    <row r="58" spans="1:49">
      <c r="A58" s="73">
        <f>RIGHT($C$74,2)*1</f>
        <v>89</v>
      </c>
      <c r="B58" s="799" t="str">
        <f>VLOOKUP(A58,Matches!$B$4:$K$113,7,0)</f>
        <v>Philadelphia</v>
      </c>
      <c r="C58" s="800"/>
      <c r="D58" s="73">
        <f>RIGHT($E$74,2)*1</f>
        <v>90</v>
      </c>
      <c r="E58" s="799" t="str">
        <f>VLOOKUP(D58,Matches!$B$4:$K$113,7,0)</f>
        <v>Houston</v>
      </c>
      <c r="F58" s="800"/>
      <c r="G58" s="73">
        <f>RIGHT($I$74,2)*1</f>
        <v>93</v>
      </c>
      <c r="H58" s="799" t="str">
        <f>VLOOKUP(G58,Matches!$B$4:$K$113,7,0)</f>
        <v>Dallas</v>
      </c>
      <c r="I58" s="800"/>
      <c r="J58" s="73">
        <f>RIGHT($K$74,2)*1</f>
        <v>94</v>
      </c>
      <c r="K58" s="799" t="str">
        <f>VLOOKUP(J58,Matches!$B$4:$K$113,7,0)</f>
        <v>Seattle</v>
      </c>
      <c r="L58" s="800"/>
      <c r="M58" s="73">
        <f>RIGHT($O$74,2)*1</f>
        <v>91</v>
      </c>
      <c r="N58" s="799" t="str">
        <f>VLOOKUP(M58,Matches!$B$4:$K$113,7,0)</f>
        <v>New York/New Jersey</v>
      </c>
      <c r="O58" s="800"/>
      <c r="P58" s="73">
        <f>RIGHT($Q$74,2)*1</f>
        <v>92</v>
      </c>
      <c r="Q58" s="799" t="str">
        <f>VLOOKUP(P58,Matches!$B$4:$K$113,7,0)</f>
        <v>Mexico City</v>
      </c>
      <c r="R58" s="800"/>
      <c r="S58" s="73">
        <f>RIGHT($U$74,2)*1</f>
        <v>95</v>
      </c>
      <c r="T58" s="799" t="str">
        <f>VLOOKUP(S58,Matches!$B$4:$K$113,7,0)</f>
        <v>Atlanta</v>
      </c>
      <c r="U58" s="800"/>
      <c r="V58" s="73">
        <f>RIGHT($W$74,2)*1</f>
        <v>96</v>
      </c>
      <c r="W58" s="799" t="str">
        <f>VLOOKUP(V58,Matches!$B$4:$K$113,7,0)</f>
        <v>Vancouver</v>
      </c>
      <c r="X58" s="800"/>
    </row>
    <row r="59" spans="1:49">
      <c r="B59" s="797">
        <f>VLOOKUP(A58,Matches!$B$4:$K$113,5,0)</f>
        <v>46207.958333333336</v>
      </c>
      <c r="C59" s="798"/>
      <c r="E59" s="797">
        <f>VLOOKUP(D58,Matches!$B$4:$K$113,5,0)</f>
        <v>46207.791666666664</v>
      </c>
      <c r="F59" s="798"/>
      <c r="H59" s="797">
        <f>VLOOKUP(G58,Matches!$B$4:$K$113,5,0)</f>
        <v>46209.875</v>
      </c>
      <c r="I59" s="798"/>
      <c r="K59" s="797">
        <f>VLOOKUP(J58,Matches!$B$4:$K$113,5,0)</f>
        <v>46210.083333333336</v>
      </c>
      <c r="L59" s="798"/>
      <c r="N59" s="797">
        <f>VLOOKUP(M58,Matches!$B$4:$K$113,5,0)</f>
        <v>46208.916666666664</v>
      </c>
      <c r="O59" s="798"/>
      <c r="Q59" s="797">
        <f>VLOOKUP(P58,Matches!$B$4:$K$113,5,0)</f>
        <v>46209.083333333336</v>
      </c>
      <c r="R59" s="798"/>
      <c r="T59" s="797">
        <f>VLOOKUP(S58,Matches!$B$4:$K$113,5,0)</f>
        <v>46210.75</v>
      </c>
      <c r="U59" s="798"/>
      <c r="V59" s="6"/>
      <c r="W59" s="797">
        <f>VLOOKUP(V58,Matches!$B$4:$K$113,5,0)</f>
        <v>46210.916666666664</v>
      </c>
      <c r="X59" s="798"/>
    </row>
    <row r="60" spans="1:49">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10" customHeight="1">
      <c r="B62" s="830" t="str">
        <f>Language!$E$175</f>
        <v>Penalties:</v>
      </c>
      <c r="C62" s="831"/>
      <c r="E62" s="830" t="str">
        <f>Language!$E$175</f>
        <v>Penalties:</v>
      </c>
      <c r="F62" s="831"/>
      <c r="H62" s="830" t="str">
        <f>Language!$E$175</f>
        <v>Penalties:</v>
      </c>
      <c r="I62" s="831"/>
      <c r="K62" s="830" t="str">
        <f>Language!$E$175</f>
        <v>Penalties:</v>
      </c>
      <c r="L62" s="831"/>
      <c r="N62" s="830" t="str">
        <f>Language!$E$175</f>
        <v>Penalties:</v>
      </c>
      <c r="O62" s="831"/>
      <c r="Q62" s="830" t="str">
        <f>Language!$E$175</f>
        <v>Penalties:</v>
      </c>
      <c r="R62" s="831"/>
      <c r="T62" s="830" t="str">
        <f>Language!$E$175</f>
        <v>Penalties:</v>
      </c>
      <c r="U62" s="831"/>
      <c r="W62" s="830" t="str">
        <f>Language!$E$175</f>
        <v>Penalties:</v>
      </c>
      <c r="X62" s="831"/>
    </row>
    <row r="63" spans="1:49" ht="15" thickBot="1">
      <c r="B63" s="181"/>
      <c r="C63" s="182"/>
      <c r="E63" s="181"/>
      <c r="F63" s="182"/>
      <c r="H63" s="181"/>
      <c r="I63" s="182"/>
      <c r="K63" s="181"/>
      <c r="L63" s="182"/>
      <c r="N63" s="181"/>
      <c r="O63" s="182"/>
      <c r="Q63" s="181"/>
      <c r="R63" s="182"/>
      <c r="T63" s="181"/>
      <c r="U63" s="182"/>
      <c r="W63" s="181"/>
      <c r="X63" s="182"/>
    </row>
    <row r="64" spans="1:49">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c r="A65" s="9"/>
      <c r="B65" s="804" t="str">
        <f>IF(AND(B61&lt;&gt;"",C61&lt;&gt;"",B61=C61,B63&lt;&gt;"",C63&lt;&gt;"",B63=C63),Language!$E$192,"")</f>
        <v/>
      </c>
      <c r="C65" s="804"/>
      <c r="D65" s="10"/>
      <c r="E65" s="804" t="str">
        <f>IF(AND(E61&lt;&gt;"",F61&lt;&gt;"",E61=F61,E63&lt;&gt;"",F63&lt;&gt;"",E63=F63),Language!$E$192,"")</f>
        <v/>
      </c>
      <c r="F65" s="804"/>
      <c r="G65" s="10"/>
      <c r="H65" s="804" t="str">
        <f>IF(AND(H61&lt;&gt;"",I61&lt;&gt;"",H61=I61,H63&lt;&gt;"",I63&lt;&gt;"",H63=I63),Language!$E$192,"")</f>
        <v/>
      </c>
      <c r="I65" s="804"/>
      <c r="J65" s="10"/>
      <c r="K65" s="804" t="str">
        <f>IF(AND(K61&lt;&gt;"",L61&lt;&gt;"",K61=L61,K63&lt;&gt;"",L63&lt;&gt;"",K63=L63),Language!$E$192,"")</f>
        <v/>
      </c>
      <c r="L65" s="804"/>
      <c r="M65" s="10"/>
      <c r="N65" s="804" t="str">
        <f>IF(AND(N61&lt;&gt;"",O61&lt;&gt;"",N61=O61,N63&lt;&gt;"",O63&lt;&gt;"",N63=O63),Language!$E$192,"")</f>
        <v/>
      </c>
      <c r="O65" s="804"/>
      <c r="P65" s="10"/>
      <c r="Q65" s="804" t="str">
        <f>IF(AND(Q61&lt;&gt;"",R61&lt;&gt;"",Q61=R61,Q63&lt;&gt;"",R63&lt;&gt;"",Q63=R63),Language!$E$192,"")</f>
        <v/>
      </c>
      <c r="R65" s="804"/>
      <c r="S65" s="10"/>
      <c r="T65" s="804" t="str">
        <f>IF(AND(T61&lt;&gt;"",U61&lt;&gt;"",T61=U61,T63&lt;&gt;"",U63&lt;&gt;"",T63=U63),Language!$E$192,"")</f>
        <v/>
      </c>
      <c r="U65" s="804"/>
      <c r="V65" s="10"/>
      <c r="W65" s="804" t="str">
        <f>IF(AND(W61&lt;&gt;"",X61&lt;&gt;"",W61=X61,W63&lt;&gt;"",X63&lt;&gt;"",W63=X63),Language!$E$192,"")</f>
        <v/>
      </c>
      <c r="X65" s="804"/>
      <c r="Y65" s="9"/>
    </row>
    <row r="66" spans="1:25">
      <c r="C66" s="11"/>
      <c r="E66" s="11"/>
    </row>
    <row r="67" spans="1:25" ht="15.5">
      <c r="C67" s="829" t="str">
        <f>VLOOKUP(VLOOKUP(B68,Matches!$B$103:$K$106,10,0),Language!$D$166:$E$169,2,0)</f>
        <v>Kwart finale 1</v>
      </c>
      <c r="D67" s="829"/>
      <c r="E67" s="829"/>
      <c r="I67" s="829" t="str">
        <f>VLOOKUP(VLOOKUP(H68,Matches!$B$103:$K$106,10,0),Language!$D$166:$E$169,2,0)</f>
        <v>Kwart finale 2</v>
      </c>
      <c r="J67" s="829"/>
      <c r="K67" s="829"/>
      <c r="O67" s="829" t="str">
        <f>VLOOKUP(VLOOKUP(N68,Matches!$B$103:$K$106,10,0),Language!$D$166:$E$169,2,0)</f>
        <v>Kwart finale 3</v>
      </c>
      <c r="P67" s="829"/>
      <c r="Q67" s="829"/>
      <c r="U67" s="829" t="str">
        <f>VLOOKUP(VLOOKUP(T68,Matches!$B$103:$K$106,10,0),Language!$D$166:$E$169,2,0)</f>
        <v>Kwart finale 4</v>
      </c>
      <c r="V67" s="829"/>
      <c r="W67" s="829"/>
    </row>
    <row r="68" spans="1:25">
      <c r="B68" s="73">
        <f>RIGHT($F$84,LEN($F$84)-1)*1</f>
        <v>97</v>
      </c>
      <c r="C68" s="820" t="str">
        <f>VLOOKUP(B68,Matches!$B$4:$K$113,7,0)</f>
        <v>Boston</v>
      </c>
      <c r="D68" s="821"/>
      <c r="E68" s="822"/>
      <c r="H68" s="73">
        <f>RIGHT($H$84,LEN($H$84)-1)*1</f>
        <v>98</v>
      </c>
      <c r="I68" s="820" t="str">
        <f>VLOOKUP(H68,Matches!$B$4:$K$113,7,0)</f>
        <v>Los Angeles</v>
      </c>
      <c r="J68" s="821"/>
      <c r="K68" s="822"/>
      <c r="N68" s="73">
        <f>RIGHT($R$84,LEN($R$84)-1)*1</f>
        <v>99</v>
      </c>
      <c r="O68" s="820" t="str">
        <f>VLOOKUP(N68,Matches!$B$4:$K$113,7,0)</f>
        <v>Miami</v>
      </c>
      <c r="P68" s="821"/>
      <c r="Q68" s="822"/>
      <c r="T68" s="73">
        <f>RIGHT($T$84,LEN($T$84)-1)*1</f>
        <v>100</v>
      </c>
      <c r="U68" s="820" t="str">
        <f>VLOOKUP(T68,Matches!$B$4:$K$113,7,0)</f>
        <v>Kansas City</v>
      </c>
      <c r="V68" s="821"/>
      <c r="W68" s="822"/>
    </row>
    <row r="69" spans="1:25">
      <c r="C69" s="797">
        <f>VLOOKUP(B68,Matches!$B$4:$K$113,5,0)</f>
        <v>46212.916666666664</v>
      </c>
      <c r="D69" s="824"/>
      <c r="E69" s="798"/>
      <c r="I69" s="797">
        <f>VLOOKUP(H68,Matches!$B$4:$K$113,5,0)</f>
        <v>46213.875</v>
      </c>
      <c r="J69" s="824"/>
      <c r="K69" s="798"/>
      <c r="O69" s="797">
        <f>VLOOKUP(N68,Matches!$B$4:$K$113,5,0)</f>
        <v>46214.958333333336</v>
      </c>
      <c r="P69" s="824"/>
      <c r="Q69" s="798"/>
      <c r="U69" s="797">
        <f>VLOOKUP(T68,Matches!$B$4:$K$113,5,0)</f>
        <v>46215.125</v>
      </c>
      <c r="V69" s="824"/>
      <c r="W69" s="798"/>
    </row>
    <row r="70" spans="1:25">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c r="C71" s="1"/>
      <c r="D71" s="12"/>
      <c r="E71" s="3"/>
      <c r="F71" s="188"/>
      <c r="I71" s="1"/>
      <c r="J71" s="12"/>
      <c r="K71" s="3"/>
      <c r="L71" s="188"/>
      <c r="O71" s="1"/>
      <c r="P71" s="12"/>
      <c r="Q71" s="3"/>
      <c r="R71" s="188"/>
      <c r="U71" s="1"/>
      <c r="V71" s="12"/>
      <c r="W71" s="3"/>
      <c r="X71" s="188"/>
    </row>
    <row r="72" spans="1:25" ht="10" customHeight="1">
      <c r="C72" s="805" t="str">
        <f>Language!$E$175</f>
        <v>Penalties:</v>
      </c>
      <c r="D72" s="827"/>
      <c r="E72" s="806"/>
      <c r="I72" s="805" t="str">
        <f>Language!$E$175</f>
        <v>Penalties:</v>
      </c>
      <c r="J72" s="827"/>
      <c r="K72" s="806"/>
      <c r="O72" s="805" t="str">
        <f>Language!$E$175</f>
        <v>Penalties:</v>
      </c>
      <c r="P72" s="827"/>
      <c r="Q72" s="806"/>
      <c r="U72" s="805" t="str">
        <f>Language!$E$175</f>
        <v>Penalties:</v>
      </c>
      <c r="V72" s="827"/>
      <c r="W72" s="806"/>
    </row>
    <row r="73" spans="1:25" ht="15" thickBot="1">
      <c r="C73" s="184"/>
      <c r="D73" s="12"/>
      <c r="E73" s="185"/>
      <c r="I73" s="184"/>
      <c r="J73" s="12"/>
      <c r="K73" s="185"/>
      <c r="O73" s="184"/>
      <c r="P73" s="12"/>
      <c r="Q73" s="185"/>
      <c r="U73" s="184"/>
      <c r="V73" s="12"/>
      <c r="W73" s="185"/>
    </row>
    <row r="74" spans="1:25">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c r="C75" s="813" t="str">
        <f>IF(AND(C71&lt;&gt;"",E71&lt;&gt;"",C71=E71,C73&lt;&gt;"",E73&lt;&gt;"",C73=E73),Language!$E$192,"")</f>
        <v/>
      </c>
      <c r="D75" s="813"/>
      <c r="E75" s="813"/>
      <c r="I75" s="813" t="str">
        <f>IF(AND(I71&lt;&gt;"",K71&lt;&gt;"",I71=K71,I73&lt;&gt;"",K73&lt;&gt;"",I73=K73),Language!$E$192,"")</f>
        <v/>
      </c>
      <c r="J75" s="813"/>
      <c r="K75" s="813"/>
      <c r="O75" s="813" t="str">
        <f>IF(AND(O71&lt;&gt;"",Q71&lt;&gt;"",O71=Q71,O73&lt;&gt;"",Q73&lt;&gt;"",O73=Q73),Language!$E$192,"")</f>
        <v/>
      </c>
      <c r="P75" s="813"/>
      <c r="Q75" s="813"/>
      <c r="U75" s="813" t="str">
        <f>IF(AND(U71&lt;&gt;"",W71&lt;&gt;"",U71=W71,U73&lt;&gt;"",W73&lt;&gt;"",U73=W73),Language!$E$192,"")</f>
        <v/>
      </c>
      <c r="V75" s="813"/>
      <c r="W75" s="813"/>
    </row>
    <row r="76" spans="1:25"/>
    <row r="77" spans="1:25" ht="15.5">
      <c r="F77" s="828" t="str">
        <f>VLOOKUP(E78,Matches!$B$103:$K$113,10,0)</f>
        <v>Halve finale 1</v>
      </c>
      <c r="G77" s="828"/>
      <c r="H77" s="828"/>
      <c r="R77" s="828" t="str">
        <f>VLOOKUP(Q78,Matches!$B$103:$K$113,10,0)</f>
        <v>Halve finale 2</v>
      </c>
      <c r="S77" s="828"/>
      <c r="T77" s="828"/>
    </row>
    <row r="78" spans="1:25">
      <c r="E78" s="73">
        <v>101</v>
      </c>
      <c r="F78" s="820" t="str">
        <f>VLOOKUP(E78,Matches!$B$4:$K$113,7,0)</f>
        <v>Dallas</v>
      </c>
      <c r="G78" s="821"/>
      <c r="H78" s="822"/>
      <c r="Q78" s="73">
        <v>102</v>
      </c>
      <c r="R78" s="820" t="str">
        <f>VLOOKUP(Q78,Matches!$B$4:$K$113,7,0)</f>
        <v>Atlanta</v>
      </c>
      <c r="S78" s="821"/>
      <c r="T78" s="822"/>
    </row>
    <row r="79" spans="1:25" ht="15.5">
      <c r="F79" s="797">
        <f>VLOOKUP(E78,Matches!$B$4:$K$113,5,0)</f>
        <v>46217.875</v>
      </c>
      <c r="G79" s="824"/>
      <c r="H79" s="798"/>
      <c r="L79" s="24"/>
      <c r="M79" s="24"/>
      <c r="R79" s="797">
        <f>VLOOKUP(Q78,Matches!$B$4:$K$113,5,0)</f>
        <v>46218.875</v>
      </c>
      <c r="S79" s="824"/>
      <c r="T79" s="798"/>
    </row>
    <row r="80" spans="1:25">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c r="F81" s="1"/>
      <c r="G81" s="12"/>
      <c r="H81" s="3"/>
      <c r="I81" s="188"/>
      <c r="L81" s="16"/>
      <c r="R81" s="1"/>
      <c r="S81" s="12"/>
      <c r="T81" s="3"/>
      <c r="U81" s="188"/>
    </row>
    <row r="82" spans="6:23" ht="10" customHeight="1">
      <c r="F82" s="805" t="str">
        <f>Language!$E$175</f>
        <v>Penalties:</v>
      </c>
      <c r="G82" s="827"/>
      <c r="H82" s="806"/>
      <c r="L82" s="16"/>
      <c r="R82" s="805" t="str">
        <f>Language!$E$175</f>
        <v>Penalties:</v>
      </c>
      <c r="S82" s="827"/>
      <c r="T82" s="806"/>
    </row>
    <row r="83" spans="6:23" ht="15" thickBot="1">
      <c r="F83" s="184"/>
      <c r="G83" s="186"/>
      <c r="H83" s="185"/>
      <c r="L83" s="16"/>
      <c r="R83" s="184"/>
      <c r="S83" s="186"/>
      <c r="T83" s="185"/>
    </row>
    <row r="84" spans="6:23">
      <c r="F84" s="10" t="str">
        <f>VLOOKUP(E78,Matches!$B$103:$K$113,2,0)</f>
        <v>W97</v>
      </c>
      <c r="G84" s="13"/>
      <c r="H84" s="10" t="str">
        <f>VLOOKUP(E78,Matches!$B$103:$K$113,3,0)</f>
        <v>W98</v>
      </c>
      <c r="L84" s="17"/>
      <c r="R84" s="10" t="str">
        <f>VLOOKUP(Q78,Matches!$B$103:$K$113,2,0)</f>
        <v>W99</v>
      </c>
      <c r="S84" s="13"/>
      <c r="T84" s="10" t="str">
        <f>VLOOKUP(Q78,Matches!$B$103:$K$113,3,0)</f>
        <v>W100</v>
      </c>
    </row>
    <row r="85" spans="6:23" ht="15.5">
      <c r="F85" s="813" t="str">
        <f>IF(AND(F81&lt;&gt;"",H81&lt;&gt;"",F81=H81,F83&lt;&gt;"",H83&lt;&gt;"",F83=H83),Language!$E$192,"")</f>
        <v/>
      </c>
      <c r="G85" s="813"/>
      <c r="H85" s="813"/>
      <c r="L85" s="826" t="str">
        <f>VLOOKUP(K86,Matches!$B$103:$K$113,10,0)</f>
        <v>Derde plaats</v>
      </c>
      <c r="M85" s="826"/>
      <c r="N85" s="826"/>
      <c r="R85" s="813" t="str">
        <f>IF(AND(R81&lt;&gt;"",T81&lt;&gt;"",R81=T81,R83&lt;&gt;"",T83&lt;&gt;"",R83=T83),Language!$E$192,"")</f>
        <v/>
      </c>
      <c r="S85" s="813"/>
      <c r="T85" s="813"/>
    </row>
    <row r="86" spans="6:23">
      <c r="K86" s="73">
        <v>103</v>
      </c>
      <c r="L86" s="820" t="str">
        <f>VLOOKUP(K86,Matches!$B$4:$K$113,7,0)</f>
        <v>Miami</v>
      </c>
      <c r="M86" s="821"/>
      <c r="N86" s="822"/>
    </row>
    <row r="87" spans="6:23">
      <c r="L87" s="797">
        <f>VLOOKUP(K86,Matches!$B$4:$K$113,5,0)</f>
        <v>46221.958333333336</v>
      </c>
      <c r="M87" s="824"/>
      <c r="N87" s="798"/>
    </row>
    <row r="88" spans="6:23">
      <c r="L88" s="7" t="str">
        <f>IF(AND(F81&lt;&gt;"",H81&lt;&gt;""),IF(F81&lt;H81,F80,IF(F81&gt;H81,H80,IF(AND(F83&lt;&gt;"",H83&lt;&gt;""),IF(F83&lt;H83,F80,IF(F83&gt;H83,H80,"")),""))),"")</f>
        <v/>
      </c>
      <c r="N88" s="8" t="str">
        <f>IF(AND(R81&lt;&gt;"",T81&lt;&gt;""),IF(R81&lt;T81,R80,IF(R81&gt;T81,T80,IF(AND(R83&lt;&gt;"",T83&lt;&gt;""),IF(R83&lt;T83,R80,IF(R83&gt;T83,T80,"")),""))),"")</f>
        <v/>
      </c>
    </row>
    <row r="89" spans="6:23" ht="15" thickBot="1">
      <c r="L89" s="1"/>
      <c r="M89" s="12"/>
      <c r="N89" s="3"/>
      <c r="O89" s="188"/>
    </row>
    <row r="90" spans="6:23" ht="10" customHeight="1">
      <c r="L90" s="805" t="str">
        <f>Language!$E$175</f>
        <v>Penalties:</v>
      </c>
      <c r="M90" s="827"/>
      <c r="N90" s="806"/>
    </row>
    <row r="91" spans="6:23" ht="15" thickBot="1">
      <c r="L91" s="184"/>
      <c r="M91" s="186"/>
      <c r="N91" s="185"/>
    </row>
    <row r="92" spans="6:23">
      <c r="L92" s="10" t="str">
        <f>VLOOKUP(K86,Matches!$B$103:$K$113,2,0)</f>
        <v>RU101</v>
      </c>
      <c r="M92" s="85"/>
      <c r="N92" s="10" t="str">
        <f>VLOOKUP(K86,Matches!$B$103:$K$113,3,0)</f>
        <v>RU102</v>
      </c>
    </row>
    <row r="93" spans="6:23">
      <c r="L93" s="813" t="str">
        <f>IF(AND(L89&lt;&gt;"",N89&lt;&gt;"",L89=N89,L91&lt;&gt;"",N91&lt;&gt;"",L91=N91),Language!$E$192,"")</f>
        <v/>
      </c>
      <c r="M93" s="813"/>
      <c r="N93" s="813"/>
    </row>
    <row r="94" spans="6:23"/>
    <row r="95" spans="6:23" ht="31">
      <c r="L95" s="817" t="str">
        <f>VLOOKUP(K96,Matches!$B$103:$K$113,10,0)</f>
        <v>Finale</v>
      </c>
      <c r="M95" s="818"/>
      <c r="N95" s="819"/>
    </row>
    <row r="96" spans="6:23">
      <c r="K96" s="73">
        <v>104</v>
      </c>
      <c r="L96" s="820" t="str">
        <f>VLOOKUP(K96,Matches!$B$4:$K$113,7,0)</f>
        <v>New York/New Jersey</v>
      </c>
      <c r="M96" s="821"/>
      <c r="N96" s="822"/>
      <c r="R96" s="823" t="str">
        <f>Language!$E$141</f>
        <v>Wereldkampioen 2026:</v>
      </c>
      <c r="S96" s="823"/>
      <c r="T96" s="823"/>
      <c r="U96" s="823"/>
      <c r="V96" s="823"/>
      <c r="W96" s="823"/>
    </row>
    <row r="97" spans="2:24">
      <c r="L97" s="797">
        <f>VLOOKUP(K96,Matches!$B$4:$K$113,5,0)</f>
        <v>46222.875</v>
      </c>
      <c r="M97" s="824"/>
      <c r="N97" s="798"/>
      <c r="R97" s="823"/>
      <c r="S97" s="823"/>
      <c r="T97" s="823"/>
      <c r="U97" s="823"/>
      <c r="V97" s="823"/>
      <c r="W97" s="823"/>
    </row>
    <row r="98" spans="2:24">
      <c r="L98" s="7" t="str">
        <f>IF(AND(F81&lt;&gt;"",H81&lt;&gt;""),IF(F81&gt;H81,F80,IF(F81&lt;H81,H80,IF(AND(F83&lt;&gt;"",H83&lt;&gt;""),IF(F83&gt;H83,F80,IF(F83&lt;H83,H80,"")),""))),"")</f>
        <v/>
      </c>
      <c r="N98" s="8" t="str">
        <f>IF(AND(R81&lt;&gt;"",T81&lt;&gt;""),IF(R81&gt;T81,R80,IF(R81&lt;T81,T80,IF(AND(R83&lt;&gt;"",T83&lt;&gt;""),IF(R83&gt;T83,R80,IF(R83&lt;T83,T80,"")),""))),"")</f>
        <v/>
      </c>
      <c r="R98" s="825" t="str">
        <f>IF(AND(L99&lt;&gt;"",N99&lt;&gt;""),IF(L99&gt;N99,L98,IF(L99&lt;N99,N98,IF(AND(L101&lt;&gt;"",N101&lt;&gt;""),IF(L101&gt;N101,L98,IF(L101&lt;N101,N98,"")),""))),"")</f>
        <v/>
      </c>
      <c r="S98" s="825"/>
      <c r="T98" s="825"/>
      <c r="U98" s="825"/>
      <c r="V98" s="825"/>
      <c r="W98" s="825"/>
    </row>
    <row r="99" spans="2:24" ht="15" thickBot="1">
      <c r="B99" s="15"/>
      <c r="L99" s="1"/>
      <c r="M99" s="11"/>
      <c r="N99" s="3"/>
      <c r="O99" s="188"/>
      <c r="R99" s="825"/>
      <c r="S99" s="825"/>
      <c r="T99" s="825"/>
      <c r="U99" s="825"/>
      <c r="V99" s="825"/>
      <c r="W99" s="825"/>
    </row>
    <row r="100" spans="2:24" ht="10" customHeight="1">
      <c r="B100" s="15"/>
      <c r="L100" s="805" t="str">
        <f>Language!$E$175</f>
        <v>Penalties:</v>
      </c>
      <c r="M100" s="827"/>
      <c r="N100" s="806"/>
      <c r="R100" s="183"/>
      <c r="S100" s="183"/>
      <c r="T100" s="183"/>
      <c r="U100" s="183"/>
      <c r="V100" s="183"/>
      <c r="W100" s="183"/>
    </row>
    <row r="101" spans="2:24" ht="15" customHeight="1" thickBot="1">
      <c r="B101" s="15"/>
      <c r="L101" s="184"/>
      <c r="M101" s="186"/>
      <c r="N101" s="185"/>
      <c r="R101" s="183"/>
      <c r="S101" s="183"/>
      <c r="T101" s="183"/>
      <c r="U101" s="183"/>
      <c r="V101" s="183"/>
      <c r="W101" s="183"/>
    </row>
    <row r="102" spans="2:24">
      <c r="L102" s="10" t="str">
        <f>VLOOKUP(K96,Matches!$B$103:$K$113,2,0)</f>
        <v>W101</v>
      </c>
      <c r="M102" s="13"/>
      <c r="N102" s="10" t="str">
        <f>VLOOKUP(K96,Matches!$B$103:$K$113,3,0)</f>
        <v>W102</v>
      </c>
    </row>
    <row r="103" spans="2:24">
      <c r="L103" s="813" t="str">
        <f>IF(AND(L99&lt;&gt;"",N99&lt;&gt;"",L99=N99,L101&lt;&gt;"",N101&lt;&gt;"",L101=N101),Language!$E$192,"")</f>
        <v/>
      </c>
      <c r="M103" s="813"/>
      <c r="N103" s="813"/>
    </row>
    <row r="104" spans="2:24"/>
    <row r="105" spans="2:24">
      <c r="U105" s="814"/>
      <c r="V105" s="814"/>
      <c r="W105" s="814"/>
      <c r="X105" s="814"/>
    </row>
    <row r="106" spans="2:24">
      <c r="B106" s="815"/>
      <c r="C106" s="815"/>
      <c r="D106" s="815"/>
      <c r="T106" s="816"/>
      <c r="U106" s="816"/>
      <c r="V106" s="816"/>
      <c r="W106" s="816"/>
      <c r="X106" s="816"/>
    </row>
    <row r="107" spans="2:24"/>
  </sheetData>
  <sheetProtection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L5" sqref="L5"/>
    </sheetView>
  </sheetViews>
  <sheetFormatPr defaultColWidth="0" defaultRowHeight="14.5"/>
  <cols>
    <col min="1" max="1" width="8" customWidth="1"/>
    <col min="2" max="2" width="19.26953125" hidden="1" customWidth="1"/>
    <col min="3" max="3" width="11.453125" hidden="1" customWidth="1"/>
    <col min="4" max="4" width="7" customWidth="1"/>
    <col min="5" max="5" width="22.7265625" hidden="1" customWidth="1"/>
    <col min="6" max="12" width="22.7265625" customWidth="1"/>
    <col min="13" max="13" width="3.81640625" customWidth="1"/>
    <col min="14" max="14" width="17.7265625" customWidth="1"/>
    <col min="15" max="15" width="9.1796875" customWidth="1"/>
    <col min="16" max="16384" width="11.453125" hidden="1"/>
  </cols>
  <sheetData>
    <row r="1" spans="2:15" ht="42.75" customHeight="1" thickBot="1">
      <c r="B1" s="83"/>
      <c r="D1" s="761"/>
      <c r="F1" s="926" t="str">
        <f>Language!$E$126</f>
        <v>Kies taal</v>
      </c>
      <c r="G1" s="926"/>
      <c r="H1" s="926"/>
      <c r="I1" s="926"/>
      <c r="J1" s="926"/>
      <c r="K1" s="313"/>
      <c r="L1" s="927" t="str">
        <f>Language!$E$196</f>
        <v>Klik hier en kies de taal:</v>
      </c>
      <c r="M1" s="928"/>
      <c r="N1" s="316" t="s">
        <v>739</v>
      </c>
      <c r="O1" s="339" t="s">
        <v>559</v>
      </c>
    </row>
    <row r="2" spans="2:15" ht="11.25" customHeight="1" thickBot="1">
      <c r="D2" s="192">
        <v>46113</v>
      </c>
      <c r="F2" s="929"/>
      <c r="G2" s="929"/>
      <c r="H2" s="929"/>
      <c r="I2" s="929"/>
      <c r="J2" s="929"/>
      <c r="K2" s="314"/>
      <c r="M2" s="74"/>
      <c r="N2" s="76"/>
    </row>
    <row r="3" spans="2:15" ht="15" thickTop="1">
      <c r="B3" s="21" t="s">
        <v>88</v>
      </c>
      <c r="C3" s="32">
        <f>IF(AND($N$1&lt;&gt;B4,$N$1&lt;&gt;B5,$N$1&lt;&gt;B6,$N$1&lt;&gt;B7,$N$1&lt;&gt;B8,$N$1&lt;&gt;B9),1,0)</f>
        <v>0</v>
      </c>
      <c r="D3" s="930" t="s">
        <v>558</v>
      </c>
      <c r="E3" s="934"/>
      <c r="F3" s="935" t="s">
        <v>88</v>
      </c>
      <c r="G3" s="932" t="s">
        <v>89</v>
      </c>
      <c r="H3" s="932" t="s">
        <v>90</v>
      </c>
      <c r="I3" s="932" t="s">
        <v>91</v>
      </c>
      <c r="J3" s="932" t="s">
        <v>110</v>
      </c>
      <c r="K3" s="932" t="s">
        <v>739</v>
      </c>
      <c r="L3" s="924" t="s">
        <v>92</v>
      </c>
      <c r="M3" s="19"/>
    </row>
    <row r="4" spans="2:15">
      <c r="B4" s="21" t="s">
        <v>89</v>
      </c>
      <c r="C4" s="32">
        <f t="shared" ref="C4:C9" si="0">IF($N$1=B4,1,0)</f>
        <v>0</v>
      </c>
      <c r="D4" s="931"/>
      <c r="E4" s="934"/>
      <c r="F4" s="936"/>
      <c r="G4" s="933"/>
      <c r="H4" s="933"/>
      <c r="I4" s="933"/>
      <c r="J4" s="933"/>
      <c r="K4" s="937"/>
      <c r="L4" s="925"/>
      <c r="M4" s="36"/>
      <c r="N4" s="37"/>
    </row>
    <row r="5" spans="2:15">
      <c r="B5" s="21" t="s">
        <v>90</v>
      </c>
      <c r="C5" s="32">
        <f t="shared" si="0"/>
        <v>0</v>
      </c>
      <c r="D5" s="151">
        <v>1</v>
      </c>
      <c r="E5" s="21" t="str">
        <f>IF($C$3,F5,IF($C$4,G5,IF($C$5,H5,IF($C$6,I5,IF($C$7,J5,IF($C$8,K5,IF(L5&lt;&gt;"",L5,F5)))))))</f>
        <v>Frankrijk</v>
      </c>
      <c r="F5" s="110" t="s">
        <v>39</v>
      </c>
      <c r="G5" s="111" t="s">
        <v>67</v>
      </c>
      <c r="H5" s="109" t="s">
        <v>67</v>
      </c>
      <c r="I5" s="112" t="s">
        <v>39</v>
      </c>
      <c r="J5" s="109" t="s">
        <v>101</v>
      </c>
      <c r="K5" s="549" t="s">
        <v>742</v>
      </c>
      <c r="L5" s="59"/>
    </row>
    <row r="6" spans="2:15">
      <c r="B6" s="21" t="s">
        <v>91</v>
      </c>
      <c r="C6" s="32">
        <f t="shared" si="0"/>
        <v>0</v>
      </c>
      <c r="D6" s="151">
        <v>2</v>
      </c>
      <c r="E6" s="21" t="str">
        <f t="shared" ref="E6:E69" si="1">IF($C$3,F6,IF($C$4,G6,IF($C$5,H6,IF($C$6,I6,IF($C$7,J6,IF($C$8,K6,IF(L6&lt;&gt;"",L6,F6)))))))</f>
        <v>Spanje</v>
      </c>
      <c r="F6" s="110" t="s">
        <v>38</v>
      </c>
      <c r="G6" s="111" t="s">
        <v>65</v>
      </c>
      <c r="H6" s="109" t="s">
        <v>81</v>
      </c>
      <c r="I6" s="112" t="s">
        <v>82</v>
      </c>
      <c r="J6" s="109" t="s">
        <v>103</v>
      </c>
      <c r="K6" s="549" t="s">
        <v>840</v>
      </c>
      <c r="L6" s="59"/>
    </row>
    <row r="7" spans="2:15">
      <c r="B7" s="21" t="s">
        <v>110</v>
      </c>
      <c r="C7" s="32">
        <f t="shared" si="0"/>
        <v>0</v>
      </c>
      <c r="D7" s="151">
        <v>3</v>
      </c>
      <c r="E7" s="21" t="str">
        <f t="shared" si="1"/>
        <v>Argentinië</v>
      </c>
      <c r="F7" s="110" t="s">
        <v>337</v>
      </c>
      <c r="G7" s="111" t="s">
        <v>337</v>
      </c>
      <c r="H7" s="109" t="s">
        <v>337</v>
      </c>
      <c r="I7" s="112" t="s">
        <v>390</v>
      </c>
      <c r="J7" s="109" t="s">
        <v>255</v>
      </c>
      <c r="K7" s="549" t="s">
        <v>743</v>
      </c>
      <c r="L7" s="59"/>
    </row>
    <row r="8" spans="2:15">
      <c r="B8" s="21" t="s">
        <v>739</v>
      </c>
      <c r="C8" s="32">
        <f t="shared" si="0"/>
        <v>1</v>
      </c>
      <c r="D8" s="151">
        <v>4</v>
      </c>
      <c r="E8" s="21" t="str">
        <f t="shared" si="1"/>
        <v>Engeland</v>
      </c>
      <c r="F8" s="110" t="s">
        <v>1</v>
      </c>
      <c r="G8" s="111" t="s">
        <v>62</v>
      </c>
      <c r="H8" s="109" t="s">
        <v>76</v>
      </c>
      <c r="I8" s="112" t="s">
        <v>77</v>
      </c>
      <c r="J8" s="109" t="s">
        <v>1</v>
      </c>
      <c r="K8" s="549" t="s">
        <v>744</v>
      </c>
      <c r="L8" s="59"/>
    </row>
    <row r="9" spans="2:15">
      <c r="B9" s="21" t="s">
        <v>92</v>
      </c>
      <c r="C9" s="32">
        <f t="shared" si="0"/>
        <v>0</v>
      </c>
      <c r="D9" s="151">
        <v>5</v>
      </c>
      <c r="E9" s="21" t="str">
        <f t="shared" si="1"/>
        <v>Portugal</v>
      </c>
      <c r="F9" s="110" t="s">
        <v>0</v>
      </c>
      <c r="G9" s="111" t="s">
        <v>0</v>
      </c>
      <c r="H9" s="109" t="s">
        <v>85</v>
      </c>
      <c r="I9" s="112" t="s">
        <v>0</v>
      </c>
      <c r="J9" s="109" t="s">
        <v>0</v>
      </c>
      <c r="K9" s="549" t="s">
        <v>0</v>
      </c>
      <c r="L9" s="59"/>
    </row>
    <row r="10" spans="2:15">
      <c r="D10" s="151">
        <v>6</v>
      </c>
      <c r="E10" s="21" t="str">
        <f t="shared" si="1"/>
        <v>Brazilië</v>
      </c>
      <c r="F10" s="110" t="s">
        <v>342</v>
      </c>
      <c r="G10" s="111" t="s">
        <v>343</v>
      </c>
      <c r="H10" s="109" t="s">
        <v>344</v>
      </c>
      <c r="I10" s="112" t="s">
        <v>345</v>
      </c>
      <c r="J10" s="109" t="s">
        <v>170</v>
      </c>
      <c r="K10" s="549" t="s">
        <v>740</v>
      </c>
      <c r="L10" s="59"/>
    </row>
    <row r="11" spans="2:15">
      <c r="D11" s="151">
        <v>7</v>
      </c>
      <c r="E11" s="21" t="str">
        <f t="shared" si="1"/>
        <v>Nederland</v>
      </c>
      <c r="F11" s="110" t="s">
        <v>411</v>
      </c>
      <c r="G11" s="111" t="s">
        <v>452</v>
      </c>
      <c r="H11" s="109" t="s">
        <v>453</v>
      </c>
      <c r="I11" s="112" t="s">
        <v>454</v>
      </c>
      <c r="J11" s="109" t="s">
        <v>455</v>
      </c>
      <c r="K11" s="549" t="s">
        <v>745</v>
      </c>
      <c r="L11" s="59"/>
    </row>
    <row r="12" spans="2:15">
      <c r="D12" s="151">
        <v>8</v>
      </c>
      <c r="E12" s="21" t="str">
        <f t="shared" si="1"/>
        <v>Marokko</v>
      </c>
      <c r="F12" s="110" t="s">
        <v>328</v>
      </c>
      <c r="G12" s="111" t="s">
        <v>329</v>
      </c>
      <c r="H12" s="109" t="s">
        <v>330</v>
      </c>
      <c r="I12" s="112" t="s">
        <v>331</v>
      </c>
      <c r="J12" s="109" t="s">
        <v>252</v>
      </c>
      <c r="K12" s="549" t="s">
        <v>252</v>
      </c>
      <c r="L12" s="59"/>
    </row>
    <row r="13" spans="2:15">
      <c r="D13" s="151">
        <v>9</v>
      </c>
      <c r="E13" s="21" t="str">
        <f t="shared" si="1"/>
        <v>België</v>
      </c>
      <c r="F13" s="110" t="s">
        <v>36</v>
      </c>
      <c r="G13" s="111" t="s">
        <v>60</v>
      </c>
      <c r="H13" s="109" t="s">
        <v>73</v>
      </c>
      <c r="I13" s="112" t="s">
        <v>74</v>
      </c>
      <c r="J13" s="109" t="s">
        <v>107</v>
      </c>
      <c r="K13" s="549" t="s">
        <v>741</v>
      </c>
      <c r="L13" s="59"/>
    </row>
    <row r="14" spans="2:15">
      <c r="D14" s="151">
        <v>10</v>
      </c>
      <c r="E14" s="21" t="str">
        <f t="shared" si="1"/>
        <v>Duitsland</v>
      </c>
      <c r="F14" s="110" t="s">
        <v>37</v>
      </c>
      <c r="G14" s="111" t="s">
        <v>68</v>
      </c>
      <c r="H14" s="109" t="s">
        <v>86</v>
      </c>
      <c r="I14" s="112" t="s">
        <v>87</v>
      </c>
      <c r="J14" s="109" t="s">
        <v>102</v>
      </c>
      <c r="K14" s="549" t="s">
        <v>747</v>
      </c>
      <c r="L14" s="59"/>
    </row>
    <row r="15" spans="2:15">
      <c r="D15" s="151">
        <v>11</v>
      </c>
      <c r="E15" s="21" t="str">
        <f t="shared" si="1"/>
        <v>Kroatië</v>
      </c>
      <c r="F15" s="110" t="s">
        <v>41</v>
      </c>
      <c r="G15" s="111" t="s">
        <v>63</v>
      </c>
      <c r="H15" s="109" t="s">
        <v>78</v>
      </c>
      <c r="I15" s="112" t="s">
        <v>79</v>
      </c>
      <c r="J15" s="109" t="s">
        <v>109</v>
      </c>
      <c r="K15" s="549" t="s">
        <v>749</v>
      </c>
      <c r="L15" s="59"/>
    </row>
    <row r="16" spans="2:15">
      <c r="D16" s="151">
        <v>12</v>
      </c>
      <c r="E16" s="21" t="str">
        <f t="shared" si="1"/>
        <v>Italië</v>
      </c>
      <c r="F16" s="110" t="s">
        <v>410</v>
      </c>
      <c r="G16" s="111" t="s">
        <v>449</v>
      </c>
      <c r="H16" s="109" t="s">
        <v>449</v>
      </c>
      <c r="I16" s="112" t="s">
        <v>450</v>
      </c>
      <c r="J16" s="109" t="s">
        <v>451</v>
      </c>
      <c r="K16" s="549" t="s">
        <v>839</v>
      </c>
      <c r="L16" s="59"/>
    </row>
    <row r="17" spans="4:12">
      <c r="D17" s="151">
        <v>13</v>
      </c>
      <c r="E17" s="21" t="str">
        <f t="shared" si="1"/>
        <v>Colombia</v>
      </c>
      <c r="F17" s="110" t="s">
        <v>357</v>
      </c>
      <c r="G17" s="111" t="s">
        <v>357</v>
      </c>
      <c r="H17" s="109" t="s">
        <v>357</v>
      </c>
      <c r="I17" s="112" t="s">
        <v>358</v>
      </c>
      <c r="J17" s="109" t="s">
        <v>264</v>
      </c>
      <c r="K17" s="549" t="s">
        <v>357</v>
      </c>
      <c r="L17" s="59"/>
    </row>
    <row r="18" spans="4:12">
      <c r="D18" s="151">
        <v>14</v>
      </c>
      <c r="E18" s="21" t="str">
        <f t="shared" si="1"/>
        <v>Senegal</v>
      </c>
      <c r="F18" s="110" t="s">
        <v>263</v>
      </c>
      <c r="G18" s="111" t="s">
        <v>263</v>
      </c>
      <c r="H18" s="109" t="s">
        <v>263</v>
      </c>
      <c r="I18" s="112" t="s">
        <v>356</v>
      </c>
      <c r="J18" s="109" t="s">
        <v>263</v>
      </c>
      <c r="K18" s="549" t="s">
        <v>263</v>
      </c>
      <c r="L18" s="59"/>
    </row>
    <row r="19" spans="4:12">
      <c r="D19" s="151">
        <v>15</v>
      </c>
      <c r="E19" s="21" t="str">
        <f t="shared" si="1"/>
        <v>Mexico</v>
      </c>
      <c r="F19" s="110" t="s">
        <v>348</v>
      </c>
      <c r="G19" s="111" t="s">
        <v>349</v>
      </c>
      <c r="H19" s="109" t="s">
        <v>350</v>
      </c>
      <c r="I19" s="112" t="s">
        <v>351</v>
      </c>
      <c r="J19" s="109" t="s">
        <v>260</v>
      </c>
      <c r="K19" s="549" t="s">
        <v>348</v>
      </c>
      <c r="L19" s="59"/>
    </row>
    <row r="20" spans="4:12">
      <c r="D20" s="151">
        <v>16</v>
      </c>
      <c r="E20" s="21" t="str">
        <f t="shared" si="1"/>
        <v>USA</v>
      </c>
      <c r="F20" s="110" t="s">
        <v>456</v>
      </c>
      <c r="G20" s="111" t="s">
        <v>457</v>
      </c>
      <c r="H20" s="109" t="s">
        <v>456</v>
      </c>
      <c r="I20" s="112" t="s">
        <v>456</v>
      </c>
      <c r="J20" s="109" t="s">
        <v>456</v>
      </c>
      <c r="K20" s="549" t="s">
        <v>456</v>
      </c>
      <c r="L20" s="59"/>
    </row>
    <row r="21" spans="4:12">
      <c r="D21" s="151">
        <v>17</v>
      </c>
      <c r="E21" s="21" t="str">
        <f t="shared" si="1"/>
        <v>Uruguay</v>
      </c>
      <c r="F21" s="110" t="s">
        <v>251</v>
      </c>
      <c r="G21" s="111" t="s">
        <v>251</v>
      </c>
      <c r="H21" s="109" t="s">
        <v>251</v>
      </c>
      <c r="I21" s="112" t="s">
        <v>251</v>
      </c>
      <c r="J21" s="109" t="s">
        <v>251</v>
      </c>
      <c r="K21" s="549" t="s">
        <v>251</v>
      </c>
      <c r="L21" s="59"/>
    </row>
    <row r="22" spans="4:12">
      <c r="D22" s="151">
        <v>18</v>
      </c>
      <c r="E22" s="21" t="str">
        <f t="shared" si="1"/>
        <v>Japan</v>
      </c>
      <c r="F22" s="110" t="s">
        <v>265</v>
      </c>
      <c r="G22" s="111" t="s">
        <v>359</v>
      </c>
      <c r="H22" s="109" t="s">
        <v>360</v>
      </c>
      <c r="I22" s="112" t="s">
        <v>361</v>
      </c>
      <c r="J22" s="109" t="s">
        <v>265</v>
      </c>
      <c r="K22" s="549" t="s">
        <v>265</v>
      </c>
      <c r="L22" s="59"/>
    </row>
    <row r="23" spans="4:12">
      <c r="D23" s="151">
        <v>19</v>
      </c>
      <c r="E23" s="21" t="str">
        <f t="shared" si="1"/>
        <v>Zwitserland</v>
      </c>
      <c r="F23" s="110" t="s">
        <v>57</v>
      </c>
      <c r="G23" s="111" t="s">
        <v>58</v>
      </c>
      <c r="H23" s="109" t="s">
        <v>69</v>
      </c>
      <c r="I23" s="112" t="s">
        <v>70</v>
      </c>
      <c r="J23" s="109" t="s">
        <v>105</v>
      </c>
      <c r="K23" s="549" t="s">
        <v>748</v>
      </c>
      <c r="L23" s="59"/>
    </row>
    <row r="24" spans="4:12">
      <c r="D24" s="151">
        <v>20</v>
      </c>
      <c r="E24" s="21" t="str">
        <f t="shared" si="1"/>
        <v>Denemarken</v>
      </c>
      <c r="F24" s="110" t="s">
        <v>43</v>
      </c>
      <c r="G24" s="111" t="s">
        <v>59</v>
      </c>
      <c r="H24" s="109" t="s">
        <v>71</v>
      </c>
      <c r="I24" s="112" t="s">
        <v>72</v>
      </c>
      <c r="J24" s="109" t="s">
        <v>106</v>
      </c>
      <c r="K24" s="549" t="s">
        <v>746</v>
      </c>
      <c r="L24" s="59"/>
    </row>
    <row r="25" spans="4:12">
      <c r="D25" s="151">
        <v>21</v>
      </c>
      <c r="E25" s="21" t="str">
        <f t="shared" si="1"/>
        <v>IR Iran</v>
      </c>
      <c r="F25" s="110" t="s">
        <v>362</v>
      </c>
      <c r="G25" s="111" t="s">
        <v>1738</v>
      </c>
      <c r="H25" s="109" t="s">
        <v>362</v>
      </c>
      <c r="I25" s="112" t="s">
        <v>1737</v>
      </c>
      <c r="J25" s="109" t="s">
        <v>362</v>
      </c>
      <c r="K25" s="549" t="s">
        <v>362</v>
      </c>
      <c r="L25" s="59"/>
    </row>
    <row r="26" spans="4:12">
      <c r="D26" s="151">
        <v>22</v>
      </c>
      <c r="E26" s="21" t="str">
        <f t="shared" si="1"/>
        <v>Turkije</v>
      </c>
      <c r="F26" s="110" t="s">
        <v>423</v>
      </c>
      <c r="G26" s="111" t="s">
        <v>485</v>
      </c>
      <c r="H26" s="109" t="s">
        <v>484</v>
      </c>
      <c r="I26" s="112" t="s">
        <v>483</v>
      </c>
      <c r="J26" s="109" t="s">
        <v>486</v>
      </c>
      <c r="K26" s="549" t="s">
        <v>761</v>
      </c>
      <c r="L26" s="59"/>
    </row>
    <row r="27" spans="4:12">
      <c r="D27" s="151">
        <v>23</v>
      </c>
      <c r="E27" s="21" t="str">
        <f t="shared" si="1"/>
        <v>Ecuador</v>
      </c>
      <c r="F27" s="110" t="s">
        <v>415</v>
      </c>
      <c r="G27" s="111" t="s">
        <v>415</v>
      </c>
      <c r="H27" s="109" t="s">
        <v>415</v>
      </c>
      <c r="I27" s="112" t="s">
        <v>464</v>
      </c>
      <c r="J27" s="109" t="s">
        <v>415</v>
      </c>
      <c r="K27" s="549" t="s">
        <v>415</v>
      </c>
      <c r="L27" s="59"/>
    </row>
    <row r="28" spans="4:12">
      <c r="D28" s="151">
        <v>24</v>
      </c>
      <c r="E28" s="21" t="str">
        <f t="shared" si="1"/>
        <v>Oostenrijk</v>
      </c>
      <c r="F28" s="110" t="s">
        <v>422</v>
      </c>
      <c r="G28" s="111" t="s">
        <v>422</v>
      </c>
      <c r="H28" s="109" t="s">
        <v>422</v>
      </c>
      <c r="I28" s="112" t="s">
        <v>481</v>
      </c>
      <c r="J28" s="109" t="s">
        <v>482</v>
      </c>
      <c r="K28" s="549" t="s">
        <v>753</v>
      </c>
      <c r="L28" s="59"/>
    </row>
    <row r="29" spans="4:12">
      <c r="D29" s="151">
        <v>25</v>
      </c>
      <c r="E29" s="21" t="str">
        <f t="shared" si="1"/>
        <v>Rep. Korea</v>
      </c>
      <c r="F29" s="110" t="s">
        <v>1890</v>
      </c>
      <c r="G29" s="111" t="s">
        <v>1891</v>
      </c>
      <c r="H29" s="109" t="s">
        <v>1892</v>
      </c>
      <c r="I29" s="112" t="s">
        <v>1893</v>
      </c>
      <c r="J29" s="109" t="s">
        <v>1894</v>
      </c>
      <c r="K29" s="549" t="s">
        <v>1895</v>
      </c>
      <c r="L29" s="59"/>
    </row>
    <row r="30" spans="4:12">
      <c r="D30" s="151">
        <v>26</v>
      </c>
      <c r="E30" s="21" t="str">
        <f t="shared" si="1"/>
        <v>Nigeria</v>
      </c>
      <c r="F30" s="110" t="s">
        <v>257</v>
      </c>
      <c r="G30" s="111" t="s">
        <v>257</v>
      </c>
      <c r="H30" s="109" t="s">
        <v>257</v>
      </c>
      <c r="I30" s="112" t="s">
        <v>257</v>
      </c>
      <c r="J30" s="109" t="s">
        <v>257</v>
      </c>
      <c r="K30" s="549" t="s">
        <v>257</v>
      </c>
      <c r="L30" s="59"/>
    </row>
    <row r="31" spans="4:12">
      <c r="D31" s="151">
        <v>27</v>
      </c>
      <c r="E31" s="21" t="str">
        <f t="shared" si="1"/>
        <v>Australië</v>
      </c>
      <c r="F31" s="110" t="s">
        <v>332</v>
      </c>
      <c r="G31" s="111" t="s">
        <v>332</v>
      </c>
      <c r="H31" s="109" t="s">
        <v>332</v>
      </c>
      <c r="I31" s="112" t="s">
        <v>333</v>
      </c>
      <c r="J31" s="109" t="s">
        <v>253</v>
      </c>
      <c r="K31" s="549" t="s">
        <v>760</v>
      </c>
      <c r="L31" s="59"/>
    </row>
    <row r="32" spans="4:12">
      <c r="D32" s="151">
        <v>28</v>
      </c>
      <c r="E32" s="21" t="str">
        <f t="shared" si="1"/>
        <v>Algerije</v>
      </c>
      <c r="F32" s="110" t="s">
        <v>417</v>
      </c>
      <c r="G32" s="111" t="s">
        <v>469</v>
      </c>
      <c r="H32" s="109" t="s">
        <v>417</v>
      </c>
      <c r="I32" s="112" t="s">
        <v>467</v>
      </c>
      <c r="J32" s="109" t="s">
        <v>468</v>
      </c>
      <c r="K32" s="549" t="s">
        <v>762</v>
      </c>
      <c r="L32" s="59"/>
    </row>
    <row r="33" spans="4:12">
      <c r="D33" s="151">
        <v>29</v>
      </c>
      <c r="E33" s="21" t="str">
        <f t="shared" si="1"/>
        <v>Egypte</v>
      </c>
      <c r="F33" s="110" t="s">
        <v>324</v>
      </c>
      <c r="G33" s="111" t="s">
        <v>325</v>
      </c>
      <c r="H33" s="109" t="s">
        <v>326</v>
      </c>
      <c r="I33" s="112" t="s">
        <v>327</v>
      </c>
      <c r="J33" s="109" t="s">
        <v>250</v>
      </c>
      <c r="K33" s="549" t="s">
        <v>327</v>
      </c>
      <c r="L33" s="59"/>
    </row>
    <row r="34" spans="4:12">
      <c r="D34" s="151">
        <v>30</v>
      </c>
      <c r="E34" s="21" t="str">
        <f t="shared" si="1"/>
        <v>Canada</v>
      </c>
      <c r="F34" s="110" t="s">
        <v>419</v>
      </c>
      <c r="G34" s="111" t="s">
        <v>474</v>
      </c>
      <c r="H34" s="109" t="s">
        <v>419</v>
      </c>
      <c r="I34" s="112" t="s">
        <v>419</v>
      </c>
      <c r="J34" s="109" t="s">
        <v>475</v>
      </c>
      <c r="K34" s="549" t="s">
        <v>419</v>
      </c>
      <c r="L34" s="59"/>
    </row>
    <row r="35" spans="4:12">
      <c r="D35" s="151">
        <v>31</v>
      </c>
      <c r="E35" s="21" t="str">
        <f t="shared" si="1"/>
        <v>Noorwegen</v>
      </c>
      <c r="F35" s="110" t="s">
        <v>418</v>
      </c>
      <c r="G35" s="111" t="s">
        <v>470</v>
      </c>
      <c r="H35" s="109" t="s">
        <v>471</v>
      </c>
      <c r="I35" s="112" t="s">
        <v>472</v>
      </c>
      <c r="J35" s="109" t="s">
        <v>473</v>
      </c>
      <c r="K35" s="549" t="s">
        <v>759</v>
      </c>
      <c r="L35" s="59"/>
    </row>
    <row r="36" spans="4:12">
      <c r="D36" s="151">
        <v>32</v>
      </c>
      <c r="E36" s="21" t="str">
        <f t="shared" si="1"/>
        <v>Oekraïne</v>
      </c>
      <c r="F36" s="110" t="s">
        <v>414</v>
      </c>
      <c r="G36" s="111" t="s">
        <v>463</v>
      </c>
      <c r="H36" s="109" t="s">
        <v>462</v>
      </c>
      <c r="I36" s="112" t="s">
        <v>414</v>
      </c>
      <c r="J36" s="109" t="s">
        <v>414</v>
      </c>
      <c r="K36" s="549" t="s">
        <v>752</v>
      </c>
      <c r="L36" s="59"/>
    </row>
    <row r="37" spans="4:12">
      <c r="D37" s="151">
        <v>33</v>
      </c>
      <c r="E37" s="21" t="str">
        <f t="shared" si="1"/>
        <v>Panama</v>
      </c>
      <c r="F37" s="110" t="s">
        <v>261</v>
      </c>
      <c r="G37" s="111" t="s">
        <v>352</v>
      </c>
      <c r="H37" s="109" t="s">
        <v>261</v>
      </c>
      <c r="I37" s="112" t="s">
        <v>261</v>
      </c>
      <c r="J37" s="109" t="s">
        <v>261</v>
      </c>
      <c r="K37" s="549" t="s">
        <v>261</v>
      </c>
      <c r="L37" s="59"/>
    </row>
    <row r="38" spans="4:12">
      <c r="D38" s="151">
        <v>34</v>
      </c>
      <c r="E38" s="21" t="str">
        <f t="shared" si="1"/>
        <v>Ivoorkust</v>
      </c>
      <c r="F38" s="110" t="s">
        <v>431</v>
      </c>
      <c r="G38" s="111" t="s">
        <v>506</v>
      </c>
      <c r="H38" s="109" t="s">
        <v>505</v>
      </c>
      <c r="I38" s="112" t="s">
        <v>507</v>
      </c>
      <c r="J38" s="109" t="s">
        <v>508</v>
      </c>
      <c r="K38" s="549" t="s">
        <v>765</v>
      </c>
      <c r="L38" s="59"/>
    </row>
    <row r="39" spans="4:12">
      <c r="D39" s="151">
        <v>35</v>
      </c>
      <c r="E39" s="21" t="str">
        <f t="shared" si="1"/>
        <v>Polen</v>
      </c>
      <c r="F39" s="110" t="s">
        <v>40</v>
      </c>
      <c r="G39" s="111" t="s">
        <v>64</v>
      </c>
      <c r="H39" s="109" t="s">
        <v>64</v>
      </c>
      <c r="I39" s="112" t="s">
        <v>80</v>
      </c>
      <c r="J39" s="109" t="s">
        <v>100</v>
      </c>
      <c r="K39" s="549" t="s">
        <v>100</v>
      </c>
      <c r="L39" s="59"/>
    </row>
    <row r="40" spans="4:12">
      <c r="D40" s="151">
        <v>36</v>
      </c>
      <c r="E40" s="21" t="str">
        <f t="shared" si="1"/>
        <v>Rusland</v>
      </c>
      <c r="F40" s="110" t="s">
        <v>42</v>
      </c>
      <c r="G40" s="111" t="s">
        <v>61</v>
      </c>
      <c r="H40" s="109" t="s">
        <v>42</v>
      </c>
      <c r="I40" s="112" t="s">
        <v>75</v>
      </c>
      <c r="J40" s="109" t="s">
        <v>108</v>
      </c>
      <c r="K40" s="549" t="s">
        <v>755</v>
      </c>
      <c r="L40" s="59"/>
    </row>
    <row r="41" spans="4:12">
      <c r="D41" s="151">
        <v>37</v>
      </c>
      <c r="E41" s="21" t="str">
        <f t="shared" si="1"/>
        <v>Wales</v>
      </c>
      <c r="F41" s="110" t="s">
        <v>412</v>
      </c>
      <c r="G41" s="111" t="s">
        <v>461</v>
      </c>
      <c r="H41" s="109" t="s">
        <v>460</v>
      </c>
      <c r="I41" s="112" t="s">
        <v>459</v>
      </c>
      <c r="J41" s="109" t="s">
        <v>412</v>
      </c>
      <c r="K41" s="549" t="s">
        <v>412</v>
      </c>
      <c r="L41" s="59"/>
    </row>
    <row r="42" spans="4:12">
      <c r="D42" s="151">
        <v>38</v>
      </c>
      <c r="E42" s="21" t="str">
        <f t="shared" si="1"/>
        <v>Zweden</v>
      </c>
      <c r="F42" s="110" t="s">
        <v>44</v>
      </c>
      <c r="G42" s="111" t="s">
        <v>66</v>
      </c>
      <c r="H42" s="109" t="s">
        <v>83</v>
      </c>
      <c r="I42" s="112" t="s">
        <v>84</v>
      </c>
      <c r="J42" s="109" t="s">
        <v>104</v>
      </c>
      <c r="K42" s="549" t="s">
        <v>750</v>
      </c>
      <c r="L42" s="59"/>
    </row>
    <row r="43" spans="4:12">
      <c r="D43" s="151">
        <v>39</v>
      </c>
      <c r="E43" s="21" t="str">
        <f t="shared" si="1"/>
        <v>Servië</v>
      </c>
      <c r="F43" s="110" t="s">
        <v>346</v>
      </c>
      <c r="G43" s="111" t="s">
        <v>346</v>
      </c>
      <c r="H43" s="109" t="s">
        <v>346</v>
      </c>
      <c r="I43" s="112" t="s">
        <v>347</v>
      </c>
      <c r="J43" s="109" t="s">
        <v>259</v>
      </c>
      <c r="K43" s="549" t="s">
        <v>751</v>
      </c>
      <c r="L43" s="59"/>
    </row>
    <row r="44" spans="4:12">
      <c r="D44" s="151">
        <v>40</v>
      </c>
      <c r="E44" s="21" t="str">
        <f t="shared" si="1"/>
        <v>Paraguay</v>
      </c>
      <c r="F44" s="110" t="s">
        <v>413</v>
      </c>
      <c r="G44" s="111" t="s">
        <v>413</v>
      </c>
      <c r="H44" s="109" t="s">
        <v>413</v>
      </c>
      <c r="I44" s="112" t="s">
        <v>413</v>
      </c>
      <c r="J44" s="109" t="s">
        <v>413</v>
      </c>
      <c r="K44" s="549" t="s">
        <v>413</v>
      </c>
      <c r="L44" s="59"/>
    </row>
    <row r="45" spans="4:12">
      <c r="D45" s="151">
        <v>41</v>
      </c>
      <c r="E45" s="21" t="str">
        <f t="shared" si="1"/>
        <v>Tsjechië</v>
      </c>
      <c r="F45" s="110" t="s">
        <v>1884</v>
      </c>
      <c r="G45" s="111" t="s">
        <v>1885</v>
      </c>
      <c r="H45" s="109" t="s">
        <v>1886</v>
      </c>
      <c r="I45" s="112" t="s">
        <v>1887</v>
      </c>
      <c r="J45" s="109" t="s">
        <v>1888</v>
      </c>
      <c r="K45" s="549" t="s">
        <v>1889</v>
      </c>
      <c r="L45" s="59"/>
    </row>
    <row r="46" spans="4:12">
      <c r="D46" s="151">
        <v>42</v>
      </c>
      <c r="E46" s="21" t="str">
        <f t="shared" si="1"/>
        <v>Hongarije</v>
      </c>
      <c r="F46" s="110" t="s">
        <v>421</v>
      </c>
      <c r="G46" s="111" t="s">
        <v>480</v>
      </c>
      <c r="H46" s="109" t="s">
        <v>479</v>
      </c>
      <c r="I46" s="112" t="s">
        <v>477</v>
      </c>
      <c r="J46" s="109" t="s">
        <v>478</v>
      </c>
      <c r="K46" s="549" t="s">
        <v>758</v>
      </c>
      <c r="L46" s="59"/>
    </row>
    <row r="47" spans="4:12">
      <c r="D47" s="151">
        <v>43</v>
      </c>
      <c r="E47" s="21" t="str">
        <f t="shared" si="1"/>
        <v>Schotland</v>
      </c>
      <c r="F47" s="110" t="s">
        <v>429</v>
      </c>
      <c r="G47" s="111" t="s">
        <v>503</v>
      </c>
      <c r="H47" s="109" t="s">
        <v>502</v>
      </c>
      <c r="I47" s="112" t="s">
        <v>500</v>
      </c>
      <c r="J47" s="109" t="s">
        <v>501</v>
      </c>
      <c r="K47" s="549" t="s">
        <v>757</v>
      </c>
      <c r="L47" s="59"/>
    </row>
    <row r="48" spans="4:12">
      <c r="D48" s="151">
        <v>44</v>
      </c>
      <c r="E48" s="21" t="str">
        <f t="shared" si="1"/>
        <v>Tunesië</v>
      </c>
      <c r="F48" s="110" t="s">
        <v>353</v>
      </c>
      <c r="G48" s="111" t="s">
        <v>354</v>
      </c>
      <c r="H48" s="109" t="s">
        <v>353</v>
      </c>
      <c r="I48" s="112" t="s">
        <v>355</v>
      </c>
      <c r="J48" s="109" t="s">
        <v>262</v>
      </c>
      <c r="K48" s="549" t="s">
        <v>754</v>
      </c>
      <c r="L48" s="59"/>
    </row>
    <row r="49" spans="4:12">
      <c r="D49" s="151">
        <v>45</v>
      </c>
      <c r="E49" s="21" t="str">
        <f t="shared" si="1"/>
        <v>Kameroen</v>
      </c>
      <c r="F49" s="110" t="s">
        <v>440</v>
      </c>
      <c r="G49" s="111" t="s">
        <v>521</v>
      </c>
      <c r="H49" s="109" t="s">
        <v>523</v>
      </c>
      <c r="I49" s="112" t="s">
        <v>522</v>
      </c>
      <c r="J49" s="109" t="s">
        <v>524</v>
      </c>
      <c r="K49" s="549" t="s">
        <v>756</v>
      </c>
      <c r="L49" s="59"/>
    </row>
    <row r="50" spans="4:12">
      <c r="D50" s="151">
        <v>46</v>
      </c>
      <c r="E50" s="21" t="str">
        <f t="shared" si="1"/>
        <v>DR Congo</v>
      </c>
      <c r="F50" s="110" t="s">
        <v>1876</v>
      </c>
      <c r="G50" s="111" t="s">
        <v>1877</v>
      </c>
      <c r="H50" s="109" t="s">
        <v>1877</v>
      </c>
      <c r="I50" s="112" t="s">
        <v>1877</v>
      </c>
      <c r="J50" s="109" t="s">
        <v>1732</v>
      </c>
      <c r="K50" s="549" t="s">
        <v>1876</v>
      </c>
      <c r="L50" s="59"/>
    </row>
    <row r="51" spans="4:12">
      <c r="D51" s="151">
        <v>47</v>
      </c>
      <c r="E51" s="21" t="str">
        <f t="shared" si="1"/>
        <v>Griekenland</v>
      </c>
      <c r="F51" s="110" t="s">
        <v>425</v>
      </c>
      <c r="G51" s="111" t="s">
        <v>492</v>
      </c>
      <c r="H51" s="109" t="s">
        <v>492</v>
      </c>
      <c r="I51" s="112" t="s">
        <v>490</v>
      </c>
      <c r="J51" s="109" t="s">
        <v>491</v>
      </c>
      <c r="K51" s="549" t="s">
        <v>767</v>
      </c>
      <c r="L51" s="59"/>
    </row>
    <row r="52" spans="4:12">
      <c r="D52" s="151">
        <v>48</v>
      </c>
      <c r="E52" s="21" t="str">
        <f t="shared" si="1"/>
        <v>Slowakije</v>
      </c>
      <c r="F52" s="110" t="s">
        <v>428</v>
      </c>
      <c r="G52" s="111" t="s">
        <v>496</v>
      </c>
      <c r="H52" s="109" t="s">
        <v>497</v>
      </c>
      <c r="I52" s="112" t="s">
        <v>498</v>
      </c>
      <c r="J52" s="109" t="s">
        <v>499</v>
      </c>
      <c r="K52" s="549" t="s">
        <v>763</v>
      </c>
      <c r="L52" s="59"/>
    </row>
    <row r="53" spans="4:12">
      <c r="D53" s="151">
        <v>49</v>
      </c>
      <c r="E53" s="21" t="str">
        <f t="shared" si="1"/>
        <v>Venezuela</v>
      </c>
      <c r="F53" s="110" t="s">
        <v>420</v>
      </c>
      <c r="G53" s="111" t="s">
        <v>420</v>
      </c>
      <c r="H53" s="109" t="s">
        <v>420</v>
      </c>
      <c r="I53" s="112" t="s">
        <v>420</v>
      </c>
      <c r="J53" s="109" t="s">
        <v>420</v>
      </c>
      <c r="K53" s="549" t="s">
        <v>420</v>
      </c>
      <c r="L53" s="59"/>
    </row>
    <row r="54" spans="4:12">
      <c r="D54" s="151">
        <v>50</v>
      </c>
      <c r="E54" s="21" t="str">
        <f t="shared" si="1"/>
        <v>Oezbekistan</v>
      </c>
      <c r="F54" s="110" t="s">
        <v>442</v>
      </c>
      <c r="G54" s="111" t="s">
        <v>525</v>
      </c>
      <c r="H54" s="109" t="s">
        <v>442</v>
      </c>
      <c r="I54" s="112" t="s">
        <v>527</v>
      </c>
      <c r="J54" s="109" t="s">
        <v>528</v>
      </c>
      <c r="K54" s="549" t="s">
        <v>774</v>
      </c>
      <c r="L54" s="59"/>
    </row>
    <row r="55" spans="4:12">
      <c r="D55" s="151">
        <v>51</v>
      </c>
      <c r="E55" s="21" t="str">
        <f t="shared" si="1"/>
        <v>Costa Rica</v>
      </c>
      <c r="F55" s="110" t="s">
        <v>258</v>
      </c>
      <c r="G55" s="111" t="s">
        <v>258</v>
      </c>
      <c r="H55" s="109" t="s">
        <v>258</v>
      </c>
      <c r="I55" s="112" t="s">
        <v>258</v>
      </c>
      <c r="J55" s="109" t="s">
        <v>258</v>
      </c>
      <c r="K55" s="549" t="s">
        <v>258</v>
      </c>
      <c r="L55" s="59"/>
    </row>
    <row r="56" spans="4:12">
      <c r="D56" s="151">
        <v>52</v>
      </c>
      <c r="E56" s="21" t="str">
        <f t="shared" si="1"/>
        <v>Mali</v>
      </c>
      <c r="F56" s="110" t="s">
        <v>441</v>
      </c>
      <c r="G56" s="111" t="s">
        <v>441</v>
      </c>
      <c r="H56" s="109" t="s">
        <v>441</v>
      </c>
      <c r="I56" s="112" t="s">
        <v>441</v>
      </c>
      <c r="J56" s="109" t="s">
        <v>441</v>
      </c>
      <c r="K56" s="549" t="s">
        <v>441</v>
      </c>
      <c r="L56" s="59"/>
    </row>
    <row r="57" spans="4:12">
      <c r="D57" s="151">
        <v>53</v>
      </c>
      <c r="E57" s="21" t="str">
        <f t="shared" si="1"/>
        <v>Peru</v>
      </c>
      <c r="F57" s="110" t="s">
        <v>254</v>
      </c>
      <c r="G57" s="111" t="s">
        <v>334</v>
      </c>
      <c r="H57" s="109" t="s">
        <v>335</v>
      </c>
      <c r="I57" s="112" t="s">
        <v>336</v>
      </c>
      <c r="J57" s="109" t="s">
        <v>254</v>
      </c>
      <c r="K57" s="549" t="s">
        <v>254</v>
      </c>
      <c r="L57" s="59"/>
    </row>
    <row r="58" spans="4:12">
      <c r="D58" s="151">
        <v>54</v>
      </c>
      <c r="E58" s="21" t="str">
        <f t="shared" si="1"/>
        <v>Chili</v>
      </c>
      <c r="F58" s="110" t="s">
        <v>416</v>
      </c>
      <c r="G58" s="111" t="s">
        <v>416</v>
      </c>
      <c r="H58" s="109" t="s">
        <v>466</v>
      </c>
      <c r="I58" s="112" t="s">
        <v>465</v>
      </c>
      <c r="J58" s="109" t="s">
        <v>416</v>
      </c>
      <c r="K58" s="549" t="s">
        <v>465</v>
      </c>
      <c r="L58" s="59"/>
    </row>
    <row r="59" spans="4:12">
      <c r="D59" s="151">
        <v>55</v>
      </c>
      <c r="E59" s="21" t="str">
        <f t="shared" si="1"/>
        <v>Qatar</v>
      </c>
      <c r="F59" s="110" t="s">
        <v>426</v>
      </c>
      <c r="G59" s="111" t="s">
        <v>426</v>
      </c>
      <c r="H59" s="109" t="s">
        <v>426</v>
      </c>
      <c r="I59" s="112" t="s">
        <v>426</v>
      </c>
      <c r="J59" s="109" t="s">
        <v>476</v>
      </c>
      <c r="K59" s="549" t="s">
        <v>426</v>
      </c>
      <c r="L59" s="59"/>
    </row>
    <row r="60" spans="4:12">
      <c r="D60" s="151">
        <v>56</v>
      </c>
      <c r="E60" s="21" t="str">
        <f t="shared" si="1"/>
        <v>Roemenië</v>
      </c>
      <c r="F60" s="110" t="s">
        <v>427</v>
      </c>
      <c r="G60" s="111" t="s">
        <v>494</v>
      </c>
      <c r="H60" s="109" t="s">
        <v>427</v>
      </c>
      <c r="I60" s="112" t="s">
        <v>493</v>
      </c>
      <c r="J60" s="109" t="s">
        <v>495</v>
      </c>
      <c r="K60" s="549" t="s">
        <v>764</v>
      </c>
      <c r="L60" s="59"/>
    </row>
    <row r="61" spans="4:12">
      <c r="D61" s="151">
        <v>57</v>
      </c>
      <c r="E61" s="21" t="str">
        <f t="shared" si="1"/>
        <v>Irak</v>
      </c>
      <c r="F61" s="110" t="s">
        <v>432</v>
      </c>
      <c r="G61" s="111" t="s">
        <v>432</v>
      </c>
      <c r="H61" s="109" t="s">
        <v>432</v>
      </c>
      <c r="I61" s="112" t="s">
        <v>509</v>
      </c>
      <c r="J61" s="109" t="s">
        <v>509</v>
      </c>
      <c r="K61" s="549" t="s">
        <v>509</v>
      </c>
      <c r="L61" s="59"/>
    </row>
    <row r="62" spans="4:12">
      <c r="D62" s="151">
        <v>58</v>
      </c>
      <c r="E62" s="21" t="str">
        <f t="shared" si="1"/>
        <v>Slovenië</v>
      </c>
      <c r="F62" s="110" t="s">
        <v>433</v>
      </c>
      <c r="G62" s="111" t="s">
        <v>510</v>
      </c>
      <c r="H62" s="109" t="s">
        <v>433</v>
      </c>
      <c r="I62" s="112" t="s">
        <v>511</v>
      </c>
      <c r="J62" s="109" t="s">
        <v>512</v>
      </c>
      <c r="K62" s="549" t="s">
        <v>769</v>
      </c>
      <c r="L62" s="59"/>
    </row>
    <row r="63" spans="4:12">
      <c r="D63" s="151">
        <v>59</v>
      </c>
      <c r="E63" s="21">
        <f t="shared" si="1"/>
        <v>0</v>
      </c>
      <c r="F63" s="110"/>
      <c r="G63" s="111"/>
      <c r="H63" s="109"/>
      <c r="I63" s="112"/>
      <c r="J63" s="109" t="s">
        <v>1731</v>
      </c>
      <c r="K63" s="549"/>
      <c r="L63" s="59"/>
    </row>
    <row r="64" spans="4:12">
      <c r="D64" s="151">
        <v>60</v>
      </c>
      <c r="E64" s="21" t="str">
        <f t="shared" si="1"/>
        <v>Zuid-Afrika</v>
      </c>
      <c r="F64" s="110" t="s">
        <v>445</v>
      </c>
      <c r="G64" s="111" t="s">
        <v>536</v>
      </c>
      <c r="H64" s="109" t="s">
        <v>535</v>
      </c>
      <c r="I64" s="112" t="s">
        <v>534</v>
      </c>
      <c r="J64" s="109" t="s">
        <v>537</v>
      </c>
      <c r="K64" s="549" t="s">
        <v>771</v>
      </c>
      <c r="L64" s="59"/>
    </row>
    <row r="65" spans="4:12">
      <c r="D65" s="151">
        <v>61</v>
      </c>
      <c r="E65" s="21" t="str">
        <f t="shared" si="1"/>
        <v>Saoedi-Arabië</v>
      </c>
      <c r="F65" s="110" t="s">
        <v>1749</v>
      </c>
      <c r="G65" s="111" t="s">
        <v>1748</v>
      </c>
      <c r="H65" s="109" t="s">
        <v>1748</v>
      </c>
      <c r="I65" s="112" t="s">
        <v>1747</v>
      </c>
      <c r="J65" s="109" t="s">
        <v>1730</v>
      </c>
      <c r="K65" s="549" t="s">
        <v>1746</v>
      </c>
      <c r="L65" s="59"/>
    </row>
    <row r="66" spans="4:12">
      <c r="D66" s="151">
        <v>62</v>
      </c>
      <c r="E66" s="21" t="str">
        <f t="shared" si="1"/>
        <v>Burkina Faso</v>
      </c>
      <c r="F66" s="110" t="s">
        <v>439</v>
      </c>
      <c r="G66" s="111" t="s">
        <v>439</v>
      </c>
      <c r="H66" s="109" t="s">
        <v>439</v>
      </c>
      <c r="I66" s="112" t="s">
        <v>439</v>
      </c>
      <c r="J66" s="109" t="s">
        <v>439</v>
      </c>
      <c r="K66" s="549" t="s">
        <v>439</v>
      </c>
      <c r="L66" s="59"/>
    </row>
    <row r="67" spans="4:12">
      <c r="D67" s="151">
        <v>63</v>
      </c>
      <c r="E67" s="21" t="str">
        <f t="shared" si="1"/>
        <v>Jordanië</v>
      </c>
      <c r="F67" s="110" t="s">
        <v>1741</v>
      </c>
      <c r="G67" s="111" t="s">
        <v>1742</v>
      </c>
      <c r="H67" s="109" t="s">
        <v>1743</v>
      </c>
      <c r="I67" s="112" t="s">
        <v>1744</v>
      </c>
      <c r="J67" s="109" t="s">
        <v>1733</v>
      </c>
      <c r="K67" s="549" t="s">
        <v>1745</v>
      </c>
      <c r="L67" s="59"/>
    </row>
    <row r="68" spans="4:12">
      <c r="D68" s="151">
        <v>64</v>
      </c>
      <c r="E68" s="21" t="str">
        <f t="shared" si="1"/>
        <v>Albanië</v>
      </c>
      <c r="F68" s="110" t="s">
        <v>438</v>
      </c>
      <c r="G68" s="111" t="s">
        <v>438</v>
      </c>
      <c r="H68" s="109" t="s">
        <v>438</v>
      </c>
      <c r="I68" s="112" t="s">
        <v>518</v>
      </c>
      <c r="J68" s="109" t="s">
        <v>520</v>
      </c>
      <c r="K68" s="549" t="s">
        <v>770</v>
      </c>
      <c r="L68" s="59"/>
    </row>
    <row r="69" spans="4:12">
      <c r="D69" s="151">
        <v>65</v>
      </c>
      <c r="E69" s="21" t="str">
        <f t="shared" si="1"/>
        <v>Bosnië/Herzeg.</v>
      </c>
      <c r="F69" s="110" t="s">
        <v>1879</v>
      </c>
      <c r="G69" s="111" t="s">
        <v>1879</v>
      </c>
      <c r="H69" s="109" t="s">
        <v>1880</v>
      </c>
      <c r="I69" s="112" t="s">
        <v>1881</v>
      </c>
      <c r="J69" s="109" t="s">
        <v>1882</v>
      </c>
      <c r="K69" s="549" t="s">
        <v>1883</v>
      </c>
      <c r="L69" s="59"/>
    </row>
    <row r="70" spans="4:12">
      <c r="D70" s="151">
        <v>66</v>
      </c>
      <c r="E70" s="21" t="str">
        <f t="shared" ref="E70:E100" si="2">IF($C$3,F70,IF($C$4,G70,IF($C$5,H70,IF($C$6,I70,IF($C$7,J70,IF($C$8,K70,IF(L70&lt;&gt;"",L70,F70)))))))</f>
        <v>Honduras</v>
      </c>
      <c r="F70" s="110" t="s">
        <v>437</v>
      </c>
      <c r="G70" s="111" t="s">
        <v>437</v>
      </c>
      <c r="H70" s="109" t="s">
        <v>437</v>
      </c>
      <c r="I70" s="112" t="s">
        <v>437</v>
      </c>
      <c r="J70" s="109" t="s">
        <v>437</v>
      </c>
      <c r="K70" s="549" t="s">
        <v>437</v>
      </c>
      <c r="L70" s="59"/>
    </row>
    <row r="71" spans="4:12">
      <c r="D71" s="151">
        <v>67</v>
      </c>
      <c r="E71" s="21">
        <f t="shared" si="2"/>
        <v>0</v>
      </c>
      <c r="F71" s="110"/>
      <c r="G71" s="111"/>
      <c r="H71" s="109"/>
      <c r="I71" s="112"/>
      <c r="J71" s="109" t="s">
        <v>909</v>
      </c>
      <c r="K71" s="549"/>
      <c r="L71" s="59"/>
    </row>
    <row r="72" spans="4:12">
      <c r="D72" s="151">
        <v>68</v>
      </c>
      <c r="E72" s="21">
        <f t="shared" si="2"/>
        <v>0</v>
      </c>
      <c r="F72" s="110"/>
      <c r="G72" s="111"/>
      <c r="H72" s="109"/>
      <c r="I72" s="112"/>
      <c r="J72" s="109" t="s">
        <v>1734</v>
      </c>
      <c r="K72" s="549"/>
      <c r="L72" s="59"/>
    </row>
    <row r="73" spans="4:12">
      <c r="D73" s="151">
        <v>69</v>
      </c>
      <c r="E73" s="21" t="str">
        <f t="shared" si="2"/>
        <v>Kaapverdië</v>
      </c>
      <c r="F73" s="110" t="s">
        <v>1750</v>
      </c>
      <c r="G73" s="111" t="s">
        <v>1751</v>
      </c>
      <c r="H73" s="109" t="s">
        <v>1752</v>
      </c>
      <c r="I73" s="112" t="s">
        <v>1753</v>
      </c>
      <c r="J73" s="109" t="s">
        <v>910</v>
      </c>
      <c r="K73" s="549" t="s">
        <v>1754</v>
      </c>
      <c r="L73" s="59"/>
    </row>
    <row r="74" spans="4:12">
      <c r="D74" s="151">
        <v>70</v>
      </c>
      <c r="E74" s="21" t="str">
        <f t="shared" si="2"/>
        <v>Noord-Ierland</v>
      </c>
      <c r="F74" s="110" t="s">
        <v>434</v>
      </c>
      <c r="G74" s="111" t="s">
        <v>516</v>
      </c>
      <c r="H74" s="109" t="s">
        <v>515</v>
      </c>
      <c r="I74" s="112" t="s">
        <v>514</v>
      </c>
      <c r="J74" s="109" t="s">
        <v>513</v>
      </c>
      <c r="K74" s="549" t="s">
        <v>766</v>
      </c>
      <c r="L74" s="59"/>
    </row>
    <row r="75" spans="4:12">
      <c r="D75" s="151">
        <v>71</v>
      </c>
      <c r="E75" s="21" t="str">
        <f t="shared" si="2"/>
        <v>Jamaica</v>
      </c>
      <c r="F75" s="110" t="s">
        <v>444</v>
      </c>
      <c r="G75" s="111" t="s">
        <v>444</v>
      </c>
      <c r="H75" s="109" t="s">
        <v>531</v>
      </c>
      <c r="I75" s="112" t="s">
        <v>532</v>
      </c>
      <c r="J75" s="109" t="s">
        <v>533</v>
      </c>
      <c r="K75" s="549" t="s">
        <v>444</v>
      </c>
      <c r="L75" s="59"/>
    </row>
    <row r="76" spans="4:12">
      <c r="D76" s="151">
        <v>72</v>
      </c>
      <c r="E76" s="21" t="str">
        <f t="shared" si="2"/>
        <v>Georgië</v>
      </c>
      <c r="F76" s="110" t="s">
        <v>448</v>
      </c>
      <c r="G76" s="111" t="s">
        <v>448</v>
      </c>
      <c r="H76" s="109" t="s">
        <v>448</v>
      </c>
      <c r="I76" s="112" t="s">
        <v>539</v>
      </c>
      <c r="J76" s="109" t="s">
        <v>540</v>
      </c>
      <c r="K76" s="549" t="s">
        <v>775</v>
      </c>
      <c r="L76" s="59"/>
    </row>
    <row r="77" spans="4:12">
      <c r="D77" s="151">
        <v>73</v>
      </c>
      <c r="E77" s="21" t="str">
        <f t="shared" si="2"/>
        <v>Finland</v>
      </c>
      <c r="F77" s="110" t="s">
        <v>424</v>
      </c>
      <c r="G77" s="111" t="s">
        <v>489</v>
      </c>
      <c r="H77" s="109" t="s">
        <v>489</v>
      </c>
      <c r="I77" s="112" t="s">
        <v>487</v>
      </c>
      <c r="J77" s="109" t="s">
        <v>908</v>
      </c>
      <c r="K77" s="549" t="s">
        <v>424</v>
      </c>
      <c r="L77" s="59"/>
    </row>
    <row r="78" spans="4:12">
      <c r="D78" s="151">
        <v>74</v>
      </c>
      <c r="E78" s="21" t="str">
        <f t="shared" si="2"/>
        <v>Ghana</v>
      </c>
      <c r="F78" s="110" t="s">
        <v>436</v>
      </c>
      <c r="G78" s="111" t="s">
        <v>436</v>
      </c>
      <c r="H78" s="109" t="s">
        <v>436</v>
      </c>
      <c r="I78" s="112" t="s">
        <v>436</v>
      </c>
      <c r="J78" s="109" t="s">
        <v>436</v>
      </c>
      <c r="K78" s="549" t="s">
        <v>436</v>
      </c>
      <c r="L78" s="59"/>
    </row>
    <row r="79" spans="4:12">
      <c r="D79" s="151">
        <v>75</v>
      </c>
      <c r="E79" s="21" t="str">
        <f t="shared" si="2"/>
        <v>IJsland</v>
      </c>
      <c r="F79" s="110" t="s">
        <v>338</v>
      </c>
      <c r="G79" s="111" t="s">
        <v>339</v>
      </c>
      <c r="H79" s="109" t="s">
        <v>340</v>
      </c>
      <c r="I79" s="112" t="s">
        <v>341</v>
      </c>
      <c r="J79" s="109" t="s">
        <v>256</v>
      </c>
      <c r="K79" s="549" t="s">
        <v>768</v>
      </c>
      <c r="L79" s="59"/>
    </row>
    <row r="80" spans="4:12">
      <c r="D80" s="151">
        <v>76</v>
      </c>
      <c r="E80" s="21" t="str">
        <f t="shared" si="2"/>
        <v>Bolivië</v>
      </c>
      <c r="F80" s="110" t="s">
        <v>435</v>
      </c>
      <c r="G80" s="111" t="s">
        <v>435</v>
      </c>
      <c r="H80" s="109" t="s">
        <v>435</v>
      </c>
      <c r="I80" s="112" t="s">
        <v>517</v>
      </c>
      <c r="J80" s="109" t="s">
        <v>519</v>
      </c>
      <c r="K80" s="549" t="s">
        <v>773</v>
      </c>
      <c r="L80" s="59"/>
    </row>
    <row r="81" spans="4:12">
      <c r="D81" s="151">
        <v>77</v>
      </c>
      <c r="E81" s="21" t="str">
        <f t="shared" si="2"/>
        <v>Israël</v>
      </c>
      <c r="F81" s="110" t="s">
        <v>430</v>
      </c>
      <c r="G81" s="111" t="s">
        <v>430</v>
      </c>
      <c r="H81" s="109" t="s">
        <v>488</v>
      </c>
      <c r="I81" s="112" t="s">
        <v>504</v>
      </c>
      <c r="J81" s="109" t="s">
        <v>430</v>
      </c>
      <c r="K81" s="549" t="s">
        <v>504</v>
      </c>
      <c r="L81" s="59"/>
    </row>
    <row r="82" spans="4:12">
      <c r="D82" s="151">
        <v>78</v>
      </c>
      <c r="E82" s="21">
        <f t="shared" si="2"/>
        <v>0</v>
      </c>
      <c r="F82" s="110"/>
      <c r="G82" s="111"/>
      <c r="H82" s="109"/>
      <c r="I82" s="112"/>
      <c r="J82" s="109" t="s">
        <v>1859</v>
      </c>
      <c r="K82" s="549"/>
      <c r="L82" s="59"/>
    </row>
    <row r="83" spans="4:12">
      <c r="D83" s="151">
        <v>79</v>
      </c>
      <c r="E83" s="21" t="str">
        <f t="shared" si="2"/>
        <v>Oman</v>
      </c>
      <c r="F83" s="110" t="s">
        <v>446</v>
      </c>
      <c r="G83" s="111" t="s">
        <v>526</v>
      </c>
      <c r="H83" s="109" t="s">
        <v>446</v>
      </c>
      <c r="I83" s="112" t="s">
        <v>446</v>
      </c>
      <c r="J83" s="109" t="s">
        <v>446</v>
      </c>
      <c r="K83" s="549" t="s">
        <v>446</v>
      </c>
      <c r="L83" s="59"/>
    </row>
    <row r="84" spans="4:12">
      <c r="D84" s="151">
        <v>80</v>
      </c>
      <c r="E84" s="21">
        <f t="shared" si="2"/>
        <v>0</v>
      </c>
      <c r="F84" s="110"/>
      <c r="G84" s="111"/>
      <c r="H84" s="109"/>
      <c r="I84" s="112"/>
      <c r="J84" s="109" t="s">
        <v>1860</v>
      </c>
      <c r="K84" s="549"/>
      <c r="L84" s="59"/>
    </row>
    <row r="85" spans="4:12">
      <c r="D85" s="151">
        <v>81</v>
      </c>
      <c r="E85" s="21" t="str">
        <f t="shared" si="2"/>
        <v>Montenegro</v>
      </c>
      <c r="F85" s="110" t="s">
        <v>447</v>
      </c>
      <c r="G85" s="111" t="s">
        <v>447</v>
      </c>
      <c r="H85" s="109" t="s">
        <v>447</v>
      </c>
      <c r="I85" s="112" t="s">
        <v>538</v>
      </c>
      <c r="J85" s="109" t="s">
        <v>447</v>
      </c>
      <c r="K85" s="549" t="s">
        <v>447</v>
      </c>
      <c r="L85" s="59"/>
    </row>
    <row r="86" spans="4:12">
      <c r="D86" s="151">
        <v>82</v>
      </c>
      <c r="E86" s="21" t="str">
        <f t="shared" si="2"/>
        <v>Curacao</v>
      </c>
      <c r="F86" s="110" t="s">
        <v>1735</v>
      </c>
      <c r="G86" s="111" t="s">
        <v>1756</v>
      </c>
      <c r="H86" s="109" t="s">
        <v>1735</v>
      </c>
      <c r="I86" s="112" t="s">
        <v>1735</v>
      </c>
      <c r="J86" s="109" t="s">
        <v>1735</v>
      </c>
      <c r="K86" s="549" t="s">
        <v>1755</v>
      </c>
      <c r="L86" s="59"/>
    </row>
    <row r="87" spans="4:12">
      <c r="D87" s="151">
        <v>83</v>
      </c>
      <c r="E87" s="21" t="str">
        <f t="shared" si="2"/>
        <v>Haïti</v>
      </c>
      <c r="F87" s="110" t="s">
        <v>1736</v>
      </c>
      <c r="G87" s="111" t="s">
        <v>1736</v>
      </c>
      <c r="H87" s="109" t="s">
        <v>1736</v>
      </c>
      <c r="I87" s="112" t="s">
        <v>1757</v>
      </c>
      <c r="J87" s="109" t="s">
        <v>1736</v>
      </c>
      <c r="K87" s="549" t="s">
        <v>1757</v>
      </c>
      <c r="L87" s="59"/>
    </row>
    <row r="88" spans="4:12">
      <c r="D88" s="151">
        <v>84</v>
      </c>
      <c r="E88" s="21">
        <f t="shared" si="2"/>
        <v>0</v>
      </c>
      <c r="F88" s="174"/>
      <c r="G88" s="108"/>
      <c r="H88" s="175"/>
      <c r="I88" s="176"/>
      <c r="J88" s="175" t="s">
        <v>1861</v>
      </c>
      <c r="K88" s="549"/>
      <c r="L88" s="177"/>
    </row>
    <row r="89" spans="4:12">
      <c r="D89" s="151">
        <v>85</v>
      </c>
      <c r="E89" s="21" t="str">
        <f t="shared" si="2"/>
        <v>Nieuw-Zeeland</v>
      </c>
      <c r="F89" s="174" t="s">
        <v>1758</v>
      </c>
      <c r="G89" s="108" t="s">
        <v>1761</v>
      </c>
      <c r="H89" s="175" t="s">
        <v>1760</v>
      </c>
      <c r="I89" s="176" t="s">
        <v>1762</v>
      </c>
      <c r="J89" s="175" t="s">
        <v>541</v>
      </c>
      <c r="K89" s="549" t="s">
        <v>1759</v>
      </c>
      <c r="L89" s="177"/>
    </row>
    <row r="90" spans="4:12">
      <c r="D90" s="151">
        <v>86</v>
      </c>
      <c r="E90" s="21" t="str">
        <f t="shared" si="2"/>
        <v>Bulgarije</v>
      </c>
      <c r="F90" s="174" t="s">
        <v>443</v>
      </c>
      <c r="G90" s="108" t="s">
        <v>443</v>
      </c>
      <c r="H90" s="175" t="s">
        <v>443</v>
      </c>
      <c r="I90" s="176" t="s">
        <v>529</v>
      </c>
      <c r="J90" s="175" t="s">
        <v>530</v>
      </c>
      <c r="K90" s="549" t="s">
        <v>772</v>
      </c>
      <c r="L90" s="177"/>
    </row>
    <row r="91" spans="4:12">
      <c r="D91" s="151">
        <v>87</v>
      </c>
      <c r="E91" s="21">
        <f t="shared" si="2"/>
        <v>0</v>
      </c>
      <c r="F91" s="174"/>
      <c r="G91" s="108"/>
      <c r="H91" s="175"/>
      <c r="I91" s="176"/>
      <c r="J91" s="175" t="s">
        <v>911</v>
      </c>
      <c r="K91" s="549"/>
      <c r="L91" s="177"/>
    </row>
    <row r="92" spans="4:12">
      <c r="D92" s="151">
        <v>88</v>
      </c>
      <c r="E92" s="21">
        <f t="shared" si="2"/>
        <v>0</v>
      </c>
      <c r="F92" s="174"/>
      <c r="G92" s="108"/>
      <c r="H92" s="175"/>
      <c r="I92" s="176"/>
      <c r="J92" s="175" t="s">
        <v>1862</v>
      </c>
      <c r="K92" s="549"/>
      <c r="L92" s="177"/>
    </row>
    <row r="93" spans="4:12">
      <c r="D93" s="151">
        <v>89</v>
      </c>
      <c r="E93" s="21">
        <f t="shared" si="2"/>
        <v>0</v>
      </c>
      <c r="F93" s="174"/>
      <c r="G93" s="108"/>
      <c r="H93" s="175"/>
      <c r="I93" s="176"/>
      <c r="J93" s="175" t="s">
        <v>1863</v>
      </c>
      <c r="K93" s="549"/>
      <c r="L93" s="177"/>
    </row>
    <row r="94" spans="4:12">
      <c r="D94" s="151">
        <v>90</v>
      </c>
      <c r="E94" s="21">
        <f t="shared" si="2"/>
        <v>0</v>
      </c>
      <c r="F94" s="174"/>
      <c r="G94" s="108"/>
      <c r="H94" s="175"/>
      <c r="I94" s="176"/>
      <c r="J94" s="781" t="s">
        <v>1878</v>
      </c>
      <c r="K94" s="782"/>
      <c r="L94" s="177"/>
    </row>
    <row r="95" spans="4:12">
      <c r="D95" s="151">
        <v>91</v>
      </c>
      <c r="E95" s="21" t="str">
        <f t="shared" si="2"/>
        <v>Play-Off 1</v>
      </c>
      <c r="F95" s="174" t="s">
        <v>1864</v>
      </c>
      <c r="G95" s="108" t="s">
        <v>1864</v>
      </c>
      <c r="H95" s="175" t="s">
        <v>1864</v>
      </c>
      <c r="I95" s="176" t="s">
        <v>1864</v>
      </c>
      <c r="J95" s="781" t="s">
        <v>1864</v>
      </c>
      <c r="K95" s="782" t="s">
        <v>1864</v>
      </c>
      <c r="L95" s="177"/>
    </row>
    <row r="96" spans="4:12">
      <c r="D96" s="151">
        <v>92</v>
      </c>
      <c r="E96" s="21" t="str">
        <f t="shared" si="2"/>
        <v>Play-Off 2</v>
      </c>
      <c r="F96" s="174" t="s">
        <v>1865</v>
      </c>
      <c r="G96" s="108" t="s">
        <v>1865</v>
      </c>
      <c r="H96" s="175" t="s">
        <v>1865</v>
      </c>
      <c r="I96" s="176" t="s">
        <v>1865</v>
      </c>
      <c r="J96" s="781" t="s">
        <v>1865</v>
      </c>
      <c r="K96" s="782" t="s">
        <v>1865</v>
      </c>
      <c r="L96" s="177"/>
    </row>
    <row r="97" spans="4:15">
      <c r="D97" s="151">
        <v>93</v>
      </c>
      <c r="E97" s="21" t="str">
        <f t="shared" si="2"/>
        <v>Play-Off A</v>
      </c>
      <c r="F97" s="174" t="s">
        <v>1866</v>
      </c>
      <c r="G97" s="108" t="s">
        <v>1866</v>
      </c>
      <c r="H97" s="175" t="s">
        <v>1866</v>
      </c>
      <c r="I97" s="176" t="s">
        <v>1866</v>
      </c>
      <c r="J97" s="781" t="s">
        <v>1866</v>
      </c>
      <c r="K97" s="782" t="s">
        <v>1866</v>
      </c>
      <c r="L97" s="177"/>
    </row>
    <row r="98" spans="4:15">
      <c r="D98" s="151">
        <v>94</v>
      </c>
      <c r="E98" s="21" t="str">
        <f t="shared" si="2"/>
        <v>Play-Off B</v>
      </c>
      <c r="F98" s="174" t="s">
        <v>1867</v>
      </c>
      <c r="G98" s="108" t="s">
        <v>1867</v>
      </c>
      <c r="H98" s="175" t="s">
        <v>1867</v>
      </c>
      <c r="I98" s="176" t="s">
        <v>1867</v>
      </c>
      <c r="J98" s="781" t="s">
        <v>1867</v>
      </c>
      <c r="K98" s="782" t="s">
        <v>1867</v>
      </c>
      <c r="L98" s="177"/>
    </row>
    <row r="99" spans="4:15">
      <c r="D99" s="151">
        <v>95</v>
      </c>
      <c r="E99" s="21" t="str">
        <f t="shared" si="2"/>
        <v>Play-Off C</v>
      </c>
      <c r="F99" s="174" t="s">
        <v>1868</v>
      </c>
      <c r="G99" s="108" t="s">
        <v>1868</v>
      </c>
      <c r="H99" s="175" t="s">
        <v>1868</v>
      </c>
      <c r="I99" s="176" t="s">
        <v>1868</v>
      </c>
      <c r="J99" s="781" t="s">
        <v>1868</v>
      </c>
      <c r="K99" s="782" t="s">
        <v>1868</v>
      </c>
      <c r="L99" s="177"/>
    </row>
    <row r="100" spans="4:15" ht="15" thickBot="1">
      <c r="D100" s="173">
        <v>96</v>
      </c>
      <c r="E100" s="21" t="str">
        <f t="shared" si="2"/>
        <v>Play-Off D</v>
      </c>
      <c r="F100" s="113" t="s">
        <v>1869</v>
      </c>
      <c r="G100" s="114" t="s">
        <v>1869</v>
      </c>
      <c r="H100" s="115" t="s">
        <v>1869</v>
      </c>
      <c r="I100" s="116" t="s">
        <v>1869</v>
      </c>
      <c r="J100" s="315" t="s">
        <v>1869</v>
      </c>
      <c r="K100" s="550" t="s">
        <v>1869</v>
      </c>
      <c r="L100" s="60"/>
    </row>
    <row r="101" spans="4:15" ht="15.5" thickTop="1" thickBot="1">
      <c r="E101" s="21"/>
      <c r="F101" s="40"/>
      <c r="G101" s="40"/>
      <c r="H101" s="40"/>
      <c r="I101" s="40"/>
      <c r="J101" s="40"/>
      <c r="K101" s="546"/>
      <c r="L101" s="40"/>
    </row>
    <row r="102" spans="4:15" ht="29.5" thickTop="1">
      <c r="D102" s="150" t="s">
        <v>391</v>
      </c>
      <c r="E102" s="171"/>
      <c r="F102" s="157" t="s">
        <v>111</v>
      </c>
      <c r="G102" s="158"/>
      <c r="H102" s="158"/>
      <c r="I102" s="158"/>
      <c r="J102" s="158"/>
      <c r="K102" s="551"/>
      <c r="L102" s="159"/>
    </row>
    <row r="103" spans="4:15">
      <c r="D103" s="151">
        <v>1</v>
      </c>
      <c r="E103" s="21" t="str">
        <f t="shared" ref="E103:E118" si="3">IF($C$3,F103,IF($C$4,G103,IF($C$5,H103,IF($C$6,I103,IF($C$7,J103,IF($C$8,K103,IF(L103&lt;&gt;"",L103,F103)))))))</f>
        <v>Vancouver</v>
      </c>
      <c r="F103" s="110" t="s">
        <v>912</v>
      </c>
      <c r="G103" s="111" t="s">
        <v>912</v>
      </c>
      <c r="H103" s="109" t="s">
        <v>912</v>
      </c>
      <c r="I103" s="112" t="s">
        <v>912</v>
      </c>
      <c r="J103" s="109" t="s">
        <v>912</v>
      </c>
      <c r="K103" s="549" t="s">
        <v>912</v>
      </c>
      <c r="L103" s="59"/>
      <c r="O103" s="22"/>
    </row>
    <row r="104" spans="4:15">
      <c r="D104" s="105">
        <v>2</v>
      </c>
      <c r="E104" s="21" t="str">
        <f t="shared" si="3"/>
        <v>Toronto</v>
      </c>
      <c r="F104" s="110" t="s">
        <v>913</v>
      </c>
      <c r="G104" s="111" t="s">
        <v>913</v>
      </c>
      <c r="H104" s="109" t="s">
        <v>913</v>
      </c>
      <c r="I104" s="112" t="s">
        <v>913</v>
      </c>
      <c r="J104" s="109" t="s">
        <v>913</v>
      </c>
      <c r="K104" s="549" t="s">
        <v>913</v>
      </c>
      <c r="L104" s="59"/>
      <c r="O104" s="22"/>
    </row>
    <row r="105" spans="4:15">
      <c r="D105" s="105">
        <v>3</v>
      </c>
      <c r="E105" s="21" t="str">
        <f t="shared" si="3"/>
        <v>New York/New Jersey</v>
      </c>
      <c r="F105" s="110" t="s">
        <v>1008</v>
      </c>
      <c r="G105" s="111" t="s">
        <v>1008</v>
      </c>
      <c r="H105" s="109" t="s">
        <v>1008</v>
      </c>
      <c r="I105" s="112" t="s">
        <v>1008</v>
      </c>
      <c r="J105" s="109" t="s">
        <v>1008</v>
      </c>
      <c r="K105" s="549" t="s">
        <v>1008</v>
      </c>
      <c r="L105" s="59"/>
      <c r="O105" s="22"/>
    </row>
    <row r="106" spans="4:15">
      <c r="D106" s="105">
        <v>4</v>
      </c>
      <c r="E106" s="21" t="str">
        <f t="shared" si="3"/>
        <v>Kansas City</v>
      </c>
      <c r="F106" s="110" t="s">
        <v>914</v>
      </c>
      <c r="G106" s="111" t="s">
        <v>914</v>
      </c>
      <c r="H106" s="109" t="s">
        <v>914</v>
      </c>
      <c r="I106" s="112" t="s">
        <v>914</v>
      </c>
      <c r="J106" s="109" t="s">
        <v>914</v>
      </c>
      <c r="K106" s="549" t="s">
        <v>914</v>
      </c>
      <c r="L106" s="59"/>
      <c r="O106" s="22"/>
    </row>
    <row r="107" spans="4:15">
      <c r="D107" s="105">
        <v>5</v>
      </c>
      <c r="E107" s="21" t="str">
        <f t="shared" si="3"/>
        <v>Dallas</v>
      </c>
      <c r="F107" s="110" t="s">
        <v>1012</v>
      </c>
      <c r="G107" s="111" t="s">
        <v>1012</v>
      </c>
      <c r="H107" s="109" t="s">
        <v>1012</v>
      </c>
      <c r="I107" s="112" t="s">
        <v>1012</v>
      </c>
      <c r="J107" s="109" t="s">
        <v>1012</v>
      </c>
      <c r="K107" s="549" t="s">
        <v>1012</v>
      </c>
      <c r="L107" s="59"/>
      <c r="O107" s="22"/>
    </row>
    <row r="108" spans="4:15">
      <c r="D108" s="105">
        <v>6</v>
      </c>
      <c r="E108" s="21" t="str">
        <f t="shared" si="3"/>
        <v>Houston</v>
      </c>
      <c r="F108" s="110" t="s">
        <v>915</v>
      </c>
      <c r="G108" s="111" t="s">
        <v>915</v>
      </c>
      <c r="H108" s="109" t="s">
        <v>915</v>
      </c>
      <c r="I108" s="112" t="s">
        <v>915</v>
      </c>
      <c r="J108" s="109" t="s">
        <v>915</v>
      </c>
      <c r="K108" s="549" t="s">
        <v>915</v>
      </c>
      <c r="L108" s="59"/>
      <c r="O108" s="22"/>
    </row>
    <row r="109" spans="4:15">
      <c r="D109" s="105">
        <v>7</v>
      </c>
      <c r="E109" s="21" t="str">
        <f t="shared" si="3"/>
        <v>Atlanta</v>
      </c>
      <c r="F109" s="110" t="s">
        <v>916</v>
      </c>
      <c r="G109" s="111" t="s">
        <v>916</v>
      </c>
      <c r="H109" s="109" t="s">
        <v>916</v>
      </c>
      <c r="I109" s="112" t="s">
        <v>916</v>
      </c>
      <c r="J109" s="109" t="s">
        <v>916</v>
      </c>
      <c r="K109" s="549" t="s">
        <v>916</v>
      </c>
      <c r="L109" s="59"/>
      <c r="O109" s="22"/>
    </row>
    <row r="110" spans="4:15">
      <c r="D110" s="105">
        <v>8</v>
      </c>
      <c r="E110" s="21" t="str">
        <f t="shared" si="3"/>
        <v>Los Angeles</v>
      </c>
      <c r="F110" s="110" t="s">
        <v>917</v>
      </c>
      <c r="G110" s="111" t="s">
        <v>917</v>
      </c>
      <c r="H110" s="109" t="s">
        <v>917</v>
      </c>
      <c r="I110" s="112" t="s">
        <v>917</v>
      </c>
      <c r="J110" s="109" t="s">
        <v>917</v>
      </c>
      <c r="K110" s="549" t="s">
        <v>917</v>
      </c>
      <c r="L110" s="59"/>
      <c r="O110" s="22"/>
    </row>
    <row r="111" spans="4:15">
      <c r="D111" s="105">
        <v>9</v>
      </c>
      <c r="E111" s="21" t="str">
        <f t="shared" si="3"/>
        <v>Philadelphia</v>
      </c>
      <c r="F111" s="110" t="s">
        <v>918</v>
      </c>
      <c r="G111" s="111" t="s">
        <v>918</v>
      </c>
      <c r="H111" s="109" t="s">
        <v>918</v>
      </c>
      <c r="I111" s="112" t="s">
        <v>918</v>
      </c>
      <c r="J111" s="109" t="s">
        <v>918</v>
      </c>
      <c r="K111" s="549" t="s">
        <v>918</v>
      </c>
      <c r="L111" s="59"/>
      <c r="O111" s="22"/>
    </row>
    <row r="112" spans="4:15">
      <c r="D112" s="105">
        <v>10</v>
      </c>
      <c r="E112" s="21" t="str">
        <f t="shared" si="3"/>
        <v>Seattle</v>
      </c>
      <c r="F112" s="110" t="s">
        <v>919</v>
      </c>
      <c r="G112" s="111" t="s">
        <v>919</v>
      </c>
      <c r="H112" s="109" t="s">
        <v>919</v>
      </c>
      <c r="I112" s="112" t="s">
        <v>919</v>
      </c>
      <c r="J112" s="109" t="s">
        <v>919</v>
      </c>
      <c r="K112" s="549" t="s">
        <v>919</v>
      </c>
      <c r="L112" s="59"/>
      <c r="O112" s="22"/>
    </row>
    <row r="113" spans="4:15">
      <c r="D113" s="105">
        <v>11</v>
      </c>
      <c r="E113" s="21" t="str">
        <f t="shared" si="3"/>
        <v>San Francisco Bay Area</v>
      </c>
      <c r="F113" s="110" t="s">
        <v>1009</v>
      </c>
      <c r="G113" s="111" t="s">
        <v>1009</v>
      </c>
      <c r="H113" s="109" t="s">
        <v>1009</v>
      </c>
      <c r="I113" s="112" t="s">
        <v>1009</v>
      </c>
      <c r="J113" s="109" t="s">
        <v>1009</v>
      </c>
      <c r="K113" s="549" t="s">
        <v>1009</v>
      </c>
      <c r="L113" s="59"/>
      <c r="O113" s="22"/>
    </row>
    <row r="114" spans="4:15">
      <c r="D114" s="105">
        <v>12</v>
      </c>
      <c r="E114" s="21" t="str">
        <f t="shared" si="3"/>
        <v>Boston</v>
      </c>
      <c r="F114" s="110" t="s">
        <v>920</v>
      </c>
      <c r="G114" s="111" t="s">
        <v>920</v>
      </c>
      <c r="H114" s="109" t="s">
        <v>920</v>
      </c>
      <c r="I114" s="112" t="s">
        <v>920</v>
      </c>
      <c r="J114" s="109" t="s">
        <v>920</v>
      </c>
      <c r="K114" s="549" t="s">
        <v>920</v>
      </c>
      <c r="L114" s="59"/>
      <c r="O114" s="22"/>
    </row>
    <row r="115" spans="4:15">
      <c r="D115" s="105">
        <v>13</v>
      </c>
      <c r="E115" s="21" t="str">
        <f t="shared" si="3"/>
        <v>Miami</v>
      </c>
      <c r="F115" s="110" t="s">
        <v>921</v>
      </c>
      <c r="G115" s="111" t="s">
        <v>921</v>
      </c>
      <c r="H115" s="109" t="s">
        <v>921</v>
      </c>
      <c r="I115" s="112" t="s">
        <v>921</v>
      </c>
      <c r="J115" s="109" t="s">
        <v>921</v>
      </c>
      <c r="K115" s="549" t="s">
        <v>921</v>
      </c>
      <c r="L115" s="59"/>
      <c r="O115" s="22"/>
    </row>
    <row r="116" spans="4:15">
      <c r="D116" s="105">
        <v>14</v>
      </c>
      <c r="E116" s="21" t="str">
        <f t="shared" si="3"/>
        <v>Mexico City</v>
      </c>
      <c r="F116" s="110" t="s">
        <v>922</v>
      </c>
      <c r="G116" s="111" t="s">
        <v>922</v>
      </c>
      <c r="H116" s="109" t="s">
        <v>922</v>
      </c>
      <c r="I116" s="112" t="s">
        <v>922</v>
      </c>
      <c r="J116" s="109" t="s">
        <v>922</v>
      </c>
      <c r="K116" s="549" t="s">
        <v>922</v>
      </c>
      <c r="L116" s="59"/>
      <c r="O116" s="22"/>
    </row>
    <row r="117" spans="4:15">
      <c r="D117" s="105">
        <v>15</v>
      </c>
      <c r="E117" s="21" t="str">
        <f t="shared" si="3"/>
        <v>Guadalajara</v>
      </c>
      <c r="F117" s="110" t="s">
        <v>1010</v>
      </c>
      <c r="G117" s="111" t="s">
        <v>1010</v>
      </c>
      <c r="H117" s="109" t="s">
        <v>1010</v>
      </c>
      <c r="I117" s="112" t="s">
        <v>1010</v>
      </c>
      <c r="J117" s="109" t="s">
        <v>1010</v>
      </c>
      <c r="K117" s="549" t="s">
        <v>1010</v>
      </c>
      <c r="L117" s="59"/>
      <c r="O117" s="22"/>
    </row>
    <row r="118" spans="4:15" ht="15" thickBot="1">
      <c r="D118" s="107">
        <v>16</v>
      </c>
      <c r="E118" s="21" t="str">
        <f t="shared" si="3"/>
        <v>Monterrey</v>
      </c>
      <c r="F118" s="113" t="s">
        <v>1011</v>
      </c>
      <c r="G118" s="114" t="s">
        <v>1011</v>
      </c>
      <c r="H118" s="115" t="s">
        <v>1011</v>
      </c>
      <c r="I118" s="116" t="s">
        <v>1011</v>
      </c>
      <c r="J118" s="315" t="s">
        <v>1011</v>
      </c>
      <c r="K118" s="550" t="s">
        <v>1011</v>
      </c>
      <c r="L118" s="60"/>
      <c r="O118" s="22"/>
    </row>
    <row r="119" spans="4:15" ht="15.5" thickTop="1" thickBot="1">
      <c r="D119" s="22"/>
      <c r="E119" s="21"/>
      <c r="F119" s="160"/>
      <c r="G119" s="160"/>
      <c r="H119" s="160"/>
      <c r="I119" s="160"/>
      <c r="J119" s="160"/>
      <c r="K119" s="552"/>
      <c r="L119" s="160"/>
    </row>
    <row r="120" spans="4:15" ht="29" thickTop="1">
      <c r="E120" s="21"/>
      <c r="F120" s="61" t="s">
        <v>278</v>
      </c>
      <c r="G120" s="62"/>
      <c r="H120" s="62"/>
      <c r="I120" s="62"/>
      <c r="J120" s="62"/>
      <c r="K120" s="553"/>
      <c r="L120" s="63"/>
    </row>
    <row r="121" spans="4:15" ht="61.5" customHeight="1">
      <c r="E121" s="21" t="str">
        <f t="shared" ref="E121:E213" si="4">IF($C$3,F121,IF($C$4,G121,IF($C$5,H121,IF($C$6,I121,IF($C$7,J121,IF($C$8,K121,IF(L121&lt;&gt;"",L121,F121)))))))</f>
        <v>WK voetbal 2026 - Canada/Mexico/VS</v>
      </c>
      <c r="F121" s="245" t="s">
        <v>956</v>
      </c>
      <c r="G121" s="246" t="s">
        <v>958</v>
      </c>
      <c r="H121" s="247" t="s">
        <v>957</v>
      </c>
      <c r="I121" s="248" t="s">
        <v>955</v>
      </c>
      <c r="J121" s="247" t="s">
        <v>889</v>
      </c>
      <c r="K121" s="554" t="s">
        <v>959</v>
      </c>
      <c r="L121" s="249"/>
    </row>
    <row r="122" spans="4:15" ht="29">
      <c r="E122" s="21" t="str">
        <f t="shared" si="4"/>
        <v>Onderscheidend vergelijk</v>
      </c>
      <c r="F122" s="380" t="s">
        <v>287</v>
      </c>
      <c r="G122" s="381" t="s">
        <v>301</v>
      </c>
      <c r="H122" s="382" t="s">
        <v>302</v>
      </c>
      <c r="I122" s="383" t="s">
        <v>300</v>
      </c>
      <c r="J122" s="382" t="s">
        <v>299</v>
      </c>
      <c r="K122" s="554" t="s">
        <v>776</v>
      </c>
      <c r="L122" s="384"/>
    </row>
    <row r="123" spans="4:15">
      <c r="E123" s="21" t="str">
        <f t="shared" si="4"/>
        <v>Fair-Play</v>
      </c>
      <c r="F123" s="245" t="s">
        <v>30</v>
      </c>
      <c r="G123" s="246" t="s">
        <v>1739</v>
      </c>
      <c r="H123" s="247" t="s">
        <v>30</v>
      </c>
      <c r="I123" s="248" t="s">
        <v>1739</v>
      </c>
      <c r="J123" s="247" t="s">
        <v>1740</v>
      </c>
      <c r="K123" s="554" t="s">
        <v>1740</v>
      </c>
      <c r="L123" s="249"/>
    </row>
    <row r="124" spans="4:15">
      <c r="E124" s="21" t="str">
        <f t="shared" si="4"/>
        <v>Kies tijdzone</v>
      </c>
      <c r="F124" s="380" t="s">
        <v>369</v>
      </c>
      <c r="G124" s="381" t="s">
        <v>377</v>
      </c>
      <c r="H124" s="382" t="s">
        <v>376</v>
      </c>
      <c r="I124" s="383" t="s">
        <v>375</v>
      </c>
      <c r="J124" s="382" t="s">
        <v>370</v>
      </c>
      <c r="K124" s="554" t="s">
        <v>777</v>
      </c>
      <c r="L124" s="384"/>
    </row>
    <row r="125" spans="4:15">
      <c r="E125" s="21" t="str">
        <f t="shared" si="4"/>
        <v>Wedstrijden</v>
      </c>
      <c r="F125" s="380" t="s">
        <v>249</v>
      </c>
      <c r="G125" s="381" t="s">
        <v>378</v>
      </c>
      <c r="H125" s="382" t="s">
        <v>379</v>
      </c>
      <c r="I125" s="383" t="s">
        <v>374</v>
      </c>
      <c r="J125" s="382" t="s">
        <v>371</v>
      </c>
      <c r="K125" s="554" t="s">
        <v>778</v>
      </c>
      <c r="L125" s="384"/>
    </row>
    <row r="126" spans="4:15">
      <c r="E126" s="21" t="str">
        <f t="shared" si="4"/>
        <v>Kies taal</v>
      </c>
      <c r="F126" s="380" t="s">
        <v>112</v>
      </c>
      <c r="G126" s="381" t="s">
        <v>381</v>
      </c>
      <c r="H126" s="382" t="s">
        <v>380</v>
      </c>
      <c r="I126" s="383" t="s">
        <v>372</v>
      </c>
      <c r="J126" s="382" t="s">
        <v>373</v>
      </c>
      <c r="K126" s="554" t="s">
        <v>779</v>
      </c>
      <c r="L126" s="384"/>
    </row>
    <row r="127" spans="4:15" ht="29">
      <c r="E127" s="21" t="str">
        <f t="shared" si="4"/>
        <v xml:space="preserve">Voorspellingsklassificatie </v>
      </c>
      <c r="F127" s="380" t="s">
        <v>639</v>
      </c>
      <c r="G127" s="381" t="s">
        <v>641</v>
      </c>
      <c r="H127" s="382" t="s">
        <v>642</v>
      </c>
      <c r="I127" s="383" t="s">
        <v>643</v>
      </c>
      <c r="J127" s="382" t="s">
        <v>640</v>
      </c>
      <c r="K127" s="554" t="s">
        <v>780</v>
      </c>
      <c r="L127" s="384"/>
    </row>
    <row r="128" spans="4:15" ht="43.5">
      <c r="E128" s="21" t="str">
        <f t="shared" si="4"/>
        <v>Toewijzing van beste derde plaatsen naar de ronde van 32</v>
      </c>
      <c r="F128" s="245" t="s">
        <v>1105</v>
      </c>
      <c r="G128" s="246" t="s">
        <v>1104</v>
      </c>
      <c r="H128" s="247" t="s">
        <v>1103</v>
      </c>
      <c r="I128" s="248" t="s">
        <v>1102</v>
      </c>
      <c r="J128" s="247" t="s">
        <v>1100</v>
      </c>
      <c r="K128" s="554" t="s">
        <v>1101</v>
      </c>
      <c r="L128" s="249"/>
    </row>
    <row r="129" spans="4:15" ht="28.5">
      <c r="E129" s="21"/>
      <c r="F129" s="64" t="s">
        <v>151</v>
      </c>
      <c r="G129" s="40"/>
      <c r="H129" s="40"/>
      <c r="I129" s="40"/>
      <c r="J129" s="40"/>
      <c r="K129" s="546"/>
      <c r="L129" s="65"/>
      <c r="M129" s="39"/>
    </row>
    <row r="130" spans="4:15" ht="15" customHeight="1">
      <c r="E130" s="21" t="str">
        <f t="shared" si="4"/>
        <v>Groep</v>
      </c>
      <c r="F130" s="117" t="s">
        <v>198</v>
      </c>
      <c r="G130" s="118" t="s">
        <v>406</v>
      </c>
      <c r="H130" s="119" t="s">
        <v>407</v>
      </c>
      <c r="I130" s="120" t="s">
        <v>408</v>
      </c>
      <c r="J130" s="119" t="s">
        <v>409</v>
      </c>
      <c r="K130" s="555" t="s">
        <v>781</v>
      </c>
      <c r="L130" s="59"/>
      <c r="M130" s="39"/>
    </row>
    <row r="131" spans="4:15" ht="15" customHeight="1">
      <c r="E131" s="21" t="str">
        <f t="shared" si="4"/>
        <v>Ptn.</v>
      </c>
      <c r="F131" s="117" t="s">
        <v>288</v>
      </c>
      <c r="G131" s="118" t="s">
        <v>290</v>
      </c>
      <c r="H131" s="119" t="s">
        <v>290</v>
      </c>
      <c r="I131" s="120" t="s">
        <v>290</v>
      </c>
      <c r="J131" s="119" t="s">
        <v>289</v>
      </c>
      <c r="K131" s="555" t="s">
        <v>782</v>
      </c>
      <c r="L131" s="59"/>
      <c r="M131" s="39"/>
    </row>
    <row r="132" spans="4:15" ht="15" customHeight="1">
      <c r="E132" s="21" t="str">
        <f t="shared" si="4"/>
        <v>DS</v>
      </c>
      <c r="F132" s="117" t="s">
        <v>190</v>
      </c>
      <c r="G132" s="118" t="s">
        <v>297</v>
      </c>
      <c r="H132" s="119" t="s">
        <v>291</v>
      </c>
      <c r="I132" s="120" t="s">
        <v>291</v>
      </c>
      <c r="J132" s="119" t="s">
        <v>663</v>
      </c>
      <c r="K132" s="555" t="s">
        <v>838</v>
      </c>
      <c r="L132" s="59"/>
      <c r="M132" s="39"/>
    </row>
    <row r="133" spans="4:15" ht="15" customHeight="1">
      <c r="E133" s="21" t="str">
        <f t="shared" si="4"/>
        <v>Doelpunten</v>
      </c>
      <c r="F133" s="117" t="s">
        <v>294</v>
      </c>
      <c r="G133" s="118" t="s">
        <v>296</v>
      </c>
      <c r="H133" s="119" t="s">
        <v>295</v>
      </c>
      <c r="I133" s="120" t="s">
        <v>293</v>
      </c>
      <c r="J133" s="119" t="s">
        <v>292</v>
      </c>
      <c r="K133" s="555" t="s">
        <v>783</v>
      </c>
      <c r="L133" s="59"/>
      <c r="M133" s="39"/>
    </row>
    <row r="134" spans="4:15" ht="19.5" customHeight="1">
      <c r="E134" s="21" t="str">
        <f t="shared" si="4"/>
        <v xml:space="preserve">  Ptn.     Doelp.</v>
      </c>
      <c r="F134" s="117" t="s">
        <v>248</v>
      </c>
      <c r="G134" s="118" t="s">
        <v>247</v>
      </c>
      <c r="H134" s="119" t="s">
        <v>246</v>
      </c>
      <c r="I134" s="120" t="s">
        <v>245</v>
      </c>
      <c r="J134" s="119" t="s">
        <v>244</v>
      </c>
      <c r="K134" s="555" t="s">
        <v>854</v>
      </c>
      <c r="L134" s="59"/>
      <c r="M134" s="39"/>
    </row>
    <row r="135" spans="4:15" ht="15" customHeight="1">
      <c r="E135" s="21" t="str">
        <f t="shared" si="4"/>
        <v>Totaal</v>
      </c>
      <c r="F135" s="117" t="s">
        <v>298</v>
      </c>
      <c r="G135" s="118" t="s">
        <v>298</v>
      </c>
      <c r="H135" s="119" t="s">
        <v>303</v>
      </c>
      <c r="I135" s="120" t="s">
        <v>298</v>
      </c>
      <c r="J135" s="119" t="s">
        <v>298</v>
      </c>
      <c r="K135" s="555" t="s">
        <v>784</v>
      </c>
      <c r="L135" s="59"/>
      <c r="M135" s="39"/>
    </row>
    <row r="136" spans="4:15" ht="15" customHeight="1">
      <c r="E136" s="21" t="str">
        <f t="shared" si="4"/>
        <v>(herhaalde)</v>
      </c>
      <c r="F136" s="117" t="s">
        <v>1856</v>
      </c>
      <c r="G136" s="118" t="s">
        <v>1855</v>
      </c>
      <c r="H136" s="119" t="s">
        <v>1854</v>
      </c>
      <c r="I136" s="120" t="s">
        <v>1858</v>
      </c>
      <c r="J136" s="119" t="s">
        <v>1853</v>
      </c>
      <c r="K136" s="555" t="s">
        <v>1857</v>
      </c>
      <c r="L136" s="59"/>
      <c r="M136" s="39"/>
    </row>
    <row r="137" spans="4:15" ht="45" customHeight="1">
      <c r="E137" s="21" t="str">
        <f t="shared" si="4"/>
        <v>onderlinge resultaten 1</v>
      </c>
      <c r="F137" s="121" t="s">
        <v>1804</v>
      </c>
      <c r="G137" s="122" t="s">
        <v>1802</v>
      </c>
      <c r="H137" s="123" t="s">
        <v>1801</v>
      </c>
      <c r="I137" s="124" t="s">
        <v>1800</v>
      </c>
      <c r="J137" s="123" t="s">
        <v>1799</v>
      </c>
      <c r="K137" s="555" t="s">
        <v>1803</v>
      </c>
      <c r="L137" s="59"/>
      <c r="M137" s="39"/>
    </row>
    <row r="138" spans="4:15" ht="15" customHeight="1">
      <c r="E138" s="21" t="str">
        <f t="shared" si="4"/>
        <v>onderlinge resultaten 2</v>
      </c>
      <c r="F138" s="117" t="s">
        <v>1805</v>
      </c>
      <c r="G138" s="118" t="s">
        <v>1807</v>
      </c>
      <c r="H138" s="119" t="s">
        <v>1809</v>
      </c>
      <c r="I138" s="120" t="s">
        <v>1811</v>
      </c>
      <c r="J138" s="119" t="s">
        <v>1813</v>
      </c>
      <c r="K138" s="555" t="s">
        <v>1815</v>
      </c>
      <c r="L138" s="59"/>
      <c r="M138" s="39"/>
    </row>
    <row r="139" spans="4:15" ht="15" customHeight="1">
      <c r="E139" s="21" t="str">
        <f t="shared" si="4"/>
        <v>onderlinge resultaten 3</v>
      </c>
      <c r="F139" s="117" t="s">
        <v>1806</v>
      </c>
      <c r="G139" s="118" t="s">
        <v>1808</v>
      </c>
      <c r="H139" s="119" t="s">
        <v>1810</v>
      </c>
      <c r="I139" s="120" t="s">
        <v>1812</v>
      </c>
      <c r="J139" s="119" t="s">
        <v>1814</v>
      </c>
      <c r="K139" s="555" t="s">
        <v>1816</v>
      </c>
      <c r="L139" s="59"/>
      <c r="M139" s="39"/>
    </row>
    <row r="140" spans="4:15">
      <c r="E140" s="21" t="str">
        <f t="shared" si="4"/>
        <v>Overzichtstabel</v>
      </c>
      <c r="F140" s="110" t="s">
        <v>1817</v>
      </c>
      <c r="G140" s="111" t="s">
        <v>1821</v>
      </c>
      <c r="H140" s="109" t="s">
        <v>1820</v>
      </c>
      <c r="I140" s="112" t="s">
        <v>200</v>
      </c>
      <c r="J140" s="109" t="s">
        <v>1818</v>
      </c>
      <c r="K140" s="549" t="s">
        <v>1819</v>
      </c>
      <c r="L140" s="59"/>
      <c r="M140" s="58"/>
      <c r="N140" s="58"/>
      <c r="O140" s="58"/>
    </row>
    <row r="141" spans="4:15" ht="15" thickBot="1">
      <c r="E141" s="21" t="str">
        <f t="shared" si="4"/>
        <v>Wereldkampioen 2026:</v>
      </c>
      <c r="F141" s="110" t="s">
        <v>890</v>
      </c>
      <c r="G141" s="111" t="s">
        <v>891</v>
      </c>
      <c r="H141" s="109" t="s">
        <v>892</v>
      </c>
      <c r="I141" s="112" t="s">
        <v>893</v>
      </c>
      <c r="J141" s="109" t="s">
        <v>894</v>
      </c>
      <c r="K141" s="549" t="s">
        <v>895</v>
      </c>
      <c r="L141" s="59"/>
      <c r="M141" s="58"/>
      <c r="N141" s="58"/>
      <c r="O141" s="58"/>
    </row>
    <row r="142" spans="4:15" ht="15" thickTop="1">
      <c r="D142" s="167">
        <v>1</v>
      </c>
      <c r="E142" s="21" t="str">
        <f t="shared" si="4"/>
        <v>ronde van 32 - 1</v>
      </c>
      <c r="F142" s="110" t="s">
        <v>939</v>
      </c>
      <c r="G142" s="111" t="s">
        <v>992</v>
      </c>
      <c r="H142" s="109" t="s">
        <v>976</v>
      </c>
      <c r="I142" s="112" t="s">
        <v>923</v>
      </c>
      <c r="J142" s="109" t="s">
        <v>867</v>
      </c>
      <c r="K142" s="549" t="s">
        <v>960</v>
      </c>
      <c r="L142" s="59"/>
      <c r="M142" s="58"/>
      <c r="N142" s="58"/>
      <c r="O142" s="58"/>
    </row>
    <row r="143" spans="4:15">
      <c r="D143" s="105">
        <v>2</v>
      </c>
      <c r="E143" s="21" t="str">
        <f t="shared" si="4"/>
        <v>ronde van 32 - 2</v>
      </c>
      <c r="F143" s="110" t="s">
        <v>940</v>
      </c>
      <c r="G143" s="111" t="s">
        <v>993</v>
      </c>
      <c r="H143" s="109" t="s">
        <v>977</v>
      </c>
      <c r="I143" s="112" t="s">
        <v>924</v>
      </c>
      <c r="J143" s="109" t="s">
        <v>868</v>
      </c>
      <c r="K143" s="549" t="s">
        <v>961</v>
      </c>
      <c r="L143" s="59"/>
      <c r="M143" s="58"/>
      <c r="N143" s="58"/>
      <c r="O143" s="58"/>
    </row>
    <row r="144" spans="4:15">
      <c r="D144" s="105">
        <v>3</v>
      </c>
      <c r="E144" s="21" t="str">
        <f t="shared" si="4"/>
        <v>ronde van 32 - 3</v>
      </c>
      <c r="F144" s="110" t="s">
        <v>941</v>
      </c>
      <c r="G144" s="111" t="s">
        <v>994</v>
      </c>
      <c r="H144" s="109" t="s">
        <v>978</v>
      </c>
      <c r="I144" s="112" t="s">
        <v>925</v>
      </c>
      <c r="J144" s="109" t="s">
        <v>869</v>
      </c>
      <c r="K144" s="549" t="s">
        <v>962</v>
      </c>
      <c r="L144" s="59"/>
      <c r="M144" s="58"/>
      <c r="N144" s="58"/>
      <c r="O144" s="58"/>
    </row>
    <row r="145" spans="4:15">
      <c r="D145" s="105">
        <v>4</v>
      </c>
      <c r="E145" s="21" t="str">
        <f t="shared" si="4"/>
        <v>ronde van 32 - 4</v>
      </c>
      <c r="F145" s="110" t="s">
        <v>942</v>
      </c>
      <c r="G145" s="111" t="s">
        <v>995</v>
      </c>
      <c r="H145" s="109" t="s">
        <v>979</v>
      </c>
      <c r="I145" s="112" t="s">
        <v>926</v>
      </c>
      <c r="J145" s="109" t="s">
        <v>870</v>
      </c>
      <c r="K145" s="549" t="s">
        <v>963</v>
      </c>
      <c r="L145" s="59"/>
      <c r="M145" s="58"/>
      <c r="N145" s="58"/>
      <c r="O145" s="58"/>
    </row>
    <row r="146" spans="4:15">
      <c r="D146" s="105">
        <v>5</v>
      </c>
      <c r="E146" s="21" t="str">
        <f t="shared" si="4"/>
        <v>ronde van 32 - 5</v>
      </c>
      <c r="F146" s="110" t="s">
        <v>943</v>
      </c>
      <c r="G146" s="111" t="s">
        <v>996</v>
      </c>
      <c r="H146" s="109" t="s">
        <v>980</v>
      </c>
      <c r="I146" s="112" t="s">
        <v>927</v>
      </c>
      <c r="J146" s="109" t="s">
        <v>871</v>
      </c>
      <c r="K146" s="549" t="s">
        <v>964</v>
      </c>
      <c r="L146" s="59"/>
      <c r="M146" s="58"/>
      <c r="N146" s="58"/>
      <c r="O146" s="58"/>
    </row>
    <row r="147" spans="4:15">
      <c r="D147" s="105">
        <v>6</v>
      </c>
      <c r="E147" s="21" t="str">
        <f t="shared" si="4"/>
        <v>ronde van 32 - 6</v>
      </c>
      <c r="F147" s="110" t="s">
        <v>944</v>
      </c>
      <c r="G147" s="111" t="s">
        <v>997</v>
      </c>
      <c r="H147" s="109" t="s">
        <v>981</v>
      </c>
      <c r="I147" s="112" t="s">
        <v>928</v>
      </c>
      <c r="J147" s="109" t="s">
        <v>872</v>
      </c>
      <c r="K147" s="549" t="s">
        <v>965</v>
      </c>
      <c r="L147" s="59"/>
      <c r="M147" s="58"/>
      <c r="N147" s="58"/>
      <c r="O147" s="58"/>
    </row>
    <row r="148" spans="4:15">
      <c r="D148" s="105">
        <v>7</v>
      </c>
      <c r="E148" s="21" t="str">
        <f t="shared" si="4"/>
        <v>ronde van 32 - 7</v>
      </c>
      <c r="F148" s="110" t="s">
        <v>945</v>
      </c>
      <c r="G148" s="111" t="s">
        <v>998</v>
      </c>
      <c r="H148" s="109" t="s">
        <v>982</v>
      </c>
      <c r="I148" s="112" t="s">
        <v>929</v>
      </c>
      <c r="J148" s="109" t="s">
        <v>873</v>
      </c>
      <c r="K148" s="549" t="s">
        <v>966</v>
      </c>
      <c r="L148" s="59"/>
      <c r="M148" s="58"/>
      <c r="N148" s="58"/>
      <c r="O148" s="58"/>
    </row>
    <row r="149" spans="4:15">
      <c r="D149" s="327">
        <v>8</v>
      </c>
      <c r="E149" s="21" t="str">
        <f t="shared" si="4"/>
        <v>ronde van 32 - 8</v>
      </c>
      <c r="F149" s="110" t="s">
        <v>946</v>
      </c>
      <c r="G149" s="111" t="s">
        <v>999</v>
      </c>
      <c r="H149" s="109" t="s">
        <v>983</v>
      </c>
      <c r="I149" s="112" t="s">
        <v>930</v>
      </c>
      <c r="J149" s="109" t="s">
        <v>874</v>
      </c>
      <c r="K149" s="549" t="s">
        <v>967</v>
      </c>
      <c r="L149" s="59"/>
      <c r="M149" s="58"/>
      <c r="N149" s="58"/>
      <c r="O149" s="58"/>
    </row>
    <row r="150" spans="4:15">
      <c r="D150" s="105">
        <v>9</v>
      </c>
      <c r="E150" s="21" t="str">
        <f t="shared" si="4"/>
        <v>ronde van 32 - 9</v>
      </c>
      <c r="F150" s="110" t="s">
        <v>947</v>
      </c>
      <c r="G150" s="111" t="s">
        <v>1000</v>
      </c>
      <c r="H150" s="109" t="s">
        <v>984</v>
      </c>
      <c r="I150" s="112" t="s">
        <v>931</v>
      </c>
      <c r="J150" s="109" t="s">
        <v>875</v>
      </c>
      <c r="K150" s="549" t="s">
        <v>968</v>
      </c>
      <c r="L150" s="59"/>
      <c r="M150" s="58"/>
      <c r="N150" s="58"/>
      <c r="O150" s="58"/>
    </row>
    <row r="151" spans="4:15">
      <c r="D151" s="327">
        <v>10</v>
      </c>
      <c r="E151" s="21" t="str">
        <f t="shared" si="4"/>
        <v>ronde van 32 - 10</v>
      </c>
      <c r="F151" s="110" t="s">
        <v>948</v>
      </c>
      <c r="G151" s="111" t="s">
        <v>1001</v>
      </c>
      <c r="H151" s="109" t="s">
        <v>985</v>
      </c>
      <c r="I151" s="112" t="s">
        <v>932</v>
      </c>
      <c r="J151" s="109" t="s">
        <v>876</v>
      </c>
      <c r="K151" s="549" t="s">
        <v>969</v>
      </c>
      <c r="L151" s="59"/>
      <c r="M151" s="58"/>
      <c r="N151" s="58"/>
      <c r="O151" s="58"/>
    </row>
    <row r="152" spans="4:15">
      <c r="D152" s="105">
        <v>11</v>
      </c>
      <c r="E152" s="21" t="str">
        <f t="shared" si="4"/>
        <v>ronde van 32 - 11</v>
      </c>
      <c r="F152" s="110" t="s">
        <v>949</v>
      </c>
      <c r="G152" s="111" t="s">
        <v>1002</v>
      </c>
      <c r="H152" s="109" t="s">
        <v>986</v>
      </c>
      <c r="I152" s="112" t="s">
        <v>933</v>
      </c>
      <c r="J152" s="109" t="s">
        <v>877</v>
      </c>
      <c r="K152" s="549" t="s">
        <v>970</v>
      </c>
      <c r="L152" s="59"/>
      <c r="M152" s="58"/>
      <c r="N152" s="58"/>
      <c r="O152" s="58"/>
    </row>
    <row r="153" spans="4:15">
      <c r="D153" s="327">
        <v>12</v>
      </c>
      <c r="E153" s="21" t="str">
        <f t="shared" si="4"/>
        <v>ronde van 32 - 12</v>
      </c>
      <c r="F153" s="110" t="s">
        <v>950</v>
      </c>
      <c r="G153" s="111" t="s">
        <v>1003</v>
      </c>
      <c r="H153" s="109" t="s">
        <v>987</v>
      </c>
      <c r="I153" s="112" t="s">
        <v>934</v>
      </c>
      <c r="J153" s="109" t="s">
        <v>878</v>
      </c>
      <c r="K153" s="549" t="s">
        <v>971</v>
      </c>
      <c r="L153" s="59"/>
      <c r="M153" s="58"/>
      <c r="N153" s="58"/>
      <c r="O153" s="58"/>
    </row>
    <row r="154" spans="4:15">
      <c r="D154" s="105">
        <v>13</v>
      </c>
      <c r="E154" s="21" t="str">
        <f t="shared" si="4"/>
        <v>ronde van 32 - 13</v>
      </c>
      <c r="F154" s="110" t="s">
        <v>951</v>
      </c>
      <c r="G154" s="111" t="s">
        <v>1004</v>
      </c>
      <c r="H154" s="109" t="s">
        <v>988</v>
      </c>
      <c r="I154" s="112" t="s">
        <v>935</v>
      </c>
      <c r="J154" s="109" t="s">
        <v>879</v>
      </c>
      <c r="K154" s="549" t="s">
        <v>972</v>
      </c>
      <c r="L154" s="59"/>
      <c r="M154" s="58"/>
      <c r="N154" s="58"/>
      <c r="O154" s="58"/>
    </row>
    <row r="155" spans="4:15">
      <c r="D155" s="327">
        <v>14</v>
      </c>
      <c r="E155" s="21" t="str">
        <f t="shared" si="4"/>
        <v>ronde van 32 - 14</v>
      </c>
      <c r="F155" s="110" t="s">
        <v>952</v>
      </c>
      <c r="G155" s="111" t="s">
        <v>1005</v>
      </c>
      <c r="H155" s="109" t="s">
        <v>989</v>
      </c>
      <c r="I155" s="112" t="s">
        <v>936</v>
      </c>
      <c r="J155" s="109" t="s">
        <v>880</v>
      </c>
      <c r="K155" s="549" t="s">
        <v>973</v>
      </c>
      <c r="L155" s="59"/>
      <c r="M155" s="58"/>
      <c r="N155" s="58"/>
      <c r="O155" s="58"/>
    </row>
    <row r="156" spans="4:15">
      <c r="D156" s="105">
        <v>15</v>
      </c>
      <c r="E156" s="21" t="str">
        <f t="shared" si="4"/>
        <v>ronde van 32 - 15</v>
      </c>
      <c r="F156" s="110" t="s">
        <v>953</v>
      </c>
      <c r="G156" s="111" t="s">
        <v>1006</v>
      </c>
      <c r="H156" s="109" t="s">
        <v>990</v>
      </c>
      <c r="I156" s="112" t="s">
        <v>937</v>
      </c>
      <c r="J156" s="109" t="s">
        <v>881</v>
      </c>
      <c r="K156" s="549" t="s">
        <v>974</v>
      </c>
      <c r="L156" s="59"/>
      <c r="M156" s="58"/>
      <c r="N156" s="58"/>
      <c r="O156" s="58"/>
    </row>
    <row r="157" spans="4:15" ht="15" thickBot="1">
      <c r="D157" s="107">
        <v>16</v>
      </c>
      <c r="E157" s="21" t="str">
        <f t="shared" si="4"/>
        <v>ronde van 32 - 16</v>
      </c>
      <c r="F157" s="110" t="s">
        <v>954</v>
      </c>
      <c r="G157" s="111" t="s">
        <v>1007</v>
      </c>
      <c r="H157" s="109" t="s">
        <v>991</v>
      </c>
      <c r="I157" s="112" t="s">
        <v>938</v>
      </c>
      <c r="J157" s="109" t="s">
        <v>882</v>
      </c>
      <c r="K157" s="549" t="s">
        <v>975</v>
      </c>
      <c r="L157" s="59"/>
      <c r="M157" s="58"/>
      <c r="N157" s="58"/>
      <c r="O157" s="58"/>
    </row>
    <row r="158" spans="4:15" ht="15" thickTop="1">
      <c r="D158" s="167">
        <v>1</v>
      </c>
      <c r="E158" s="21" t="str">
        <f t="shared" si="4"/>
        <v>Achtste finale 1</v>
      </c>
      <c r="F158" s="110" t="s">
        <v>49</v>
      </c>
      <c r="G158" s="111" t="s">
        <v>201</v>
      </c>
      <c r="H158" s="109" t="s">
        <v>209</v>
      </c>
      <c r="I158" s="112" t="s">
        <v>217</v>
      </c>
      <c r="J158" s="109" t="s">
        <v>153</v>
      </c>
      <c r="K158" s="549" t="s">
        <v>785</v>
      </c>
      <c r="L158" s="59"/>
      <c r="M158" s="58"/>
      <c r="N158" s="58"/>
      <c r="O158" s="58"/>
    </row>
    <row r="159" spans="4:15">
      <c r="D159" s="105">
        <v>2</v>
      </c>
      <c r="E159" s="21" t="str">
        <f t="shared" si="4"/>
        <v>Achtste finale 2</v>
      </c>
      <c r="F159" s="110" t="s">
        <v>47</v>
      </c>
      <c r="G159" s="111" t="s">
        <v>202</v>
      </c>
      <c r="H159" s="109" t="s">
        <v>210</v>
      </c>
      <c r="I159" s="112" t="s">
        <v>218</v>
      </c>
      <c r="J159" s="109" t="s">
        <v>154</v>
      </c>
      <c r="K159" s="549" t="s">
        <v>786</v>
      </c>
      <c r="L159" s="59"/>
      <c r="M159" s="58"/>
      <c r="N159" s="58"/>
      <c r="O159" s="58"/>
    </row>
    <row r="160" spans="4:15">
      <c r="D160" s="105">
        <v>3</v>
      </c>
      <c r="E160" s="21" t="str">
        <f t="shared" si="4"/>
        <v>Achtste finale 3</v>
      </c>
      <c r="F160" s="110" t="s">
        <v>50</v>
      </c>
      <c r="G160" s="111" t="s">
        <v>203</v>
      </c>
      <c r="H160" s="109" t="s">
        <v>211</v>
      </c>
      <c r="I160" s="112" t="s">
        <v>219</v>
      </c>
      <c r="J160" s="109" t="s">
        <v>155</v>
      </c>
      <c r="K160" s="549" t="s">
        <v>787</v>
      </c>
      <c r="L160" s="59"/>
      <c r="M160" s="58"/>
      <c r="N160" s="58"/>
      <c r="O160" s="58"/>
    </row>
    <row r="161" spans="4:15">
      <c r="D161" s="105">
        <v>4</v>
      </c>
      <c r="E161" s="21" t="str">
        <f t="shared" si="4"/>
        <v>Achtste finale 4</v>
      </c>
      <c r="F161" s="110" t="s">
        <v>48</v>
      </c>
      <c r="G161" s="111" t="s">
        <v>204</v>
      </c>
      <c r="H161" s="109" t="s">
        <v>212</v>
      </c>
      <c r="I161" s="112" t="s">
        <v>220</v>
      </c>
      <c r="J161" s="109" t="s">
        <v>156</v>
      </c>
      <c r="K161" s="549" t="s">
        <v>788</v>
      </c>
      <c r="L161" s="59"/>
      <c r="M161" s="58"/>
      <c r="N161" s="58"/>
      <c r="O161" s="58"/>
    </row>
    <row r="162" spans="4:15">
      <c r="D162" s="105">
        <v>5</v>
      </c>
      <c r="E162" s="21" t="str">
        <f t="shared" si="4"/>
        <v>Achtste finale 5</v>
      </c>
      <c r="F162" s="110" t="s">
        <v>45</v>
      </c>
      <c r="G162" s="111" t="s">
        <v>205</v>
      </c>
      <c r="H162" s="109" t="s">
        <v>213</v>
      </c>
      <c r="I162" s="112" t="s">
        <v>221</v>
      </c>
      <c r="J162" s="109" t="s">
        <v>157</v>
      </c>
      <c r="K162" s="549" t="s">
        <v>789</v>
      </c>
      <c r="L162" s="59"/>
      <c r="M162" s="58"/>
      <c r="N162" s="58"/>
      <c r="O162" s="58"/>
    </row>
    <row r="163" spans="4:15">
      <c r="D163" s="105">
        <v>6</v>
      </c>
      <c r="E163" s="21" t="str">
        <f t="shared" si="4"/>
        <v>Achtste finale 6</v>
      </c>
      <c r="F163" s="110" t="s">
        <v>46</v>
      </c>
      <c r="G163" s="111" t="s">
        <v>206</v>
      </c>
      <c r="H163" s="109" t="s">
        <v>214</v>
      </c>
      <c r="I163" s="112" t="s">
        <v>222</v>
      </c>
      <c r="J163" s="109" t="s">
        <v>158</v>
      </c>
      <c r="K163" s="549" t="s">
        <v>790</v>
      </c>
      <c r="L163" s="59"/>
      <c r="M163" s="58"/>
      <c r="N163" s="58"/>
      <c r="O163" s="58"/>
    </row>
    <row r="164" spans="4:15">
      <c r="D164" s="105">
        <v>7</v>
      </c>
      <c r="E164" s="21" t="str">
        <f t="shared" si="4"/>
        <v>Achtste finale 7</v>
      </c>
      <c r="F164" s="110" t="s">
        <v>51</v>
      </c>
      <c r="G164" s="111" t="s">
        <v>207</v>
      </c>
      <c r="H164" s="109" t="s">
        <v>215</v>
      </c>
      <c r="I164" s="112" t="s">
        <v>223</v>
      </c>
      <c r="J164" s="109" t="s">
        <v>159</v>
      </c>
      <c r="K164" s="549" t="s">
        <v>791</v>
      </c>
      <c r="L164" s="59"/>
    </row>
    <row r="165" spans="4:15" ht="15" thickBot="1">
      <c r="D165" s="107">
        <v>8</v>
      </c>
      <c r="E165" s="21" t="str">
        <f t="shared" si="4"/>
        <v>Achtste finale 8</v>
      </c>
      <c r="F165" s="110" t="s">
        <v>52</v>
      </c>
      <c r="G165" s="111" t="s">
        <v>208</v>
      </c>
      <c r="H165" s="109" t="s">
        <v>216</v>
      </c>
      <c r="I165" s="112" t="s">
        <v>224</v>
      </c>
      <c r="J165" s="109" t="s">
        <v>160</v>
      </c>
      <c r="K165" s="549" t="s">
        <v>792</v>
      </c>
      <c r="L165" s="59"/>
    </row>
    <row r="166" spans="4:15" ht="15" thickTop="1">
      <c r="D166" s="167">
        <v>1</v>
      </c>
      <c r="E166" s="21" t="str">
        <f t="shared" si="4"/>
        <v>Kwart finale 1</v>
      </c>
      <c r="F166" s="146" t="s">
        <v>365</v>
      </c>
      <c r="G166" s="111" t="s">
        <v>233</v>
      </c>
      <c r="H166" s="109" t="s">
        <v>229</v>
      </c>
      <c r="I166" s="112" t="s">
        <v>225</v>
      </c>
      <c r="J166" s="109" t="s">
        <v>161</v>
      </c>
      <c r="K166" s="549" t="s">
        <v>793</v>
      </c>
      <c r="L166" s="59"/>
    </row>
    <row r="167" spans="4:15">
      <c r="D167" s="105">
        <v>2</v>
      </c>
      <c r="E167" s="21" t="str">
        <f t="shared" si="4"/>
        <v>Kwart finale 2</v>
      </c>
      <c r="F167" s="146" t="s">
        <v>366</v>
      </c>
      <c r="G167" s="111" t="s">
        <v>234</v>
      </c>
      <c r="H167" s="109" t="s">
        <v>230</v>
      </c>
      <c r="I167" s="112" t="s">
        <v>226</v>
      </c>
      <c r="J167" s="109" t="s">
        <v>162</v>
      </c>
      <c r="K167" s="549" t="s">
        <v>794</v>
      </c>
      <c r="L167" s="59"/>
    </row>
    <row r="168" spans="4:15">
      <c r="D168" s="105">
        <v>3</v>
      </c>
      <c r="E168" s="21" t="str">
        <f t="shared" si="4"/>
        <v>Kwart finale 3</v>
      </c>
      <c r="F168" s="146" t="s">
        <v>367</v>
      </c>
      <c r="G168" s="111" t="s">
        <v>235</v>
      </c>
      <c r="H168" s="109" t="s">
        <v>231</v>
      </c>
      <c r="I168" s="112" t="s">
        <v>227</v>
      </c>
      <c r="J168" s="109" t="s">
        <v>163</v>
      </c>
      <c r="K168" s="549" t="s">
        <v>795</v>
      </c>
      <c r="L168" s="59"/>
    </row>
    <row r="169" spans="4:15" ht="15" thickBot="1">
      <c r="D169" s="107">
        <v>4</v>
      </c>
      <c r="E169" s="21" t="str">
        <f t="shared" si="4"/>
        <v>Kwart finale 4</v>
      </c>
      <c r="F169" s="146" t="s">
        <v>368</v>
      </c>
      <c r="G169" s="111" t="s">
        <v>236</v>
      </c>
      <c r="H169" s="109" t="s">
        <v>232</v>
      </c>
      <c r="I169" s="112" t="s">
        <v>228</v>
      </c>
      <c r="J169" s="109" t="s">
        <v>164</v>
      </c>
      <c r="K169" s="549" t="s">
        <v>796</v>
      </c>
      <c r="L169" s="59"/>
    </row>
    <row r="170" spans="4:15" ht="15" thickTop="1">
      <c r="E170" s="21" t="str">
        <f t="shared" si="4"/>
        <v>Halve finale 1</v>
      </c>
      <c r="F170" s="110" t="s">
        <v>53</v>
      </c>
      <c r="G170" s="111" t="s">
        <v>237</v>
      </c>
      <c r="H170" s="109" t="s">
        <v>239</v>
      </c>
      <c r="I170" s="112" t="s">
        <v>241</v>
      </c>
      <c r="J170" s="109" t="s">
        <v>165</v>
      </c>
      <c r="K170" s="549" t="s">
        <v>797</v>
      </c>
      <c r="L170" s="59"/>
    </row>
    <row r="171" spans="4:15">
      <c r="E171" s="21" t="str">
        <f t="shared" si="4"/>
        <v>Halve finale 2</v>
      </c>
      <c r="F171" s="110" t="s">
        <v>54</v>
      </c>
      <c r="G171" s="111" t="s">
        <v>238</v>
      </c>
      <c r="H171" s="109" t="s">
        <v>240</v>
      </c>
      <c r="I171" s="112" t="s">
        <v>242</v>
      </c>
      <c r="J171" s="109" t="s">
        <v>166</v>
      </c>
      <c r="K171" s="549" t="s">
        <v>798</v>
      </c>
      <c r="L171" s="59"/>
    </row>
    <row r="172" spans="4:15">
      <c r="E172" s="21" t="str">
        <f t="shared" si="4"/>
        <v>Derde plaats</v>
      </c>
      <c r="F172" s="110" t="s">
        <v>152</v>
      </c>
      <c r="G172" s="111" t="s">
        <v>394</v>
      </c>
      <c r="H172" s="109" t="s">
        <v>395</v>
      </c>
      <c r="I172" s="112" t="s">
        <v>243</v>
      </c>
      <c r="J172" s="109" t="s">
        <v>167</v>
      </c>
      <c r="K172" s="549" t="s">
        <v>799</v>
      </c>
      <c r="L172" s="59"/>
    </row>
    <row r="173" spans="4:15">
      <c r="E173" s="21" t="str">
        <f t="shared" si="4"/>
        <v>Finale</v>
      </c>
      <c r="F173" s="110" t="s">
        <v>55</v>
      </c>
      <c r="G173" s="111" t="s">
        <v>55</v>
      </c>
      <c r="H173" s="109" t="s">
        <v>168</v>
      </c>
      <c r="I173" s="112" t="s">
        <v>55</v>
      </c>
      <c r="J173" s="109" t="s">
        <v>168</v>
      </c>
      <c r="K173" s="549" t="s">
        <v>168</v>
      </c>
      <c r="L173" s="59"/>
    </row>
    <row r="174" spans="4:15">
      <c r="E174" s="21" t="str">
        <f t="shared" si="4"/>
        <v>Beoordeling</v>
      </c>
      <c r="F174" s="110" t="s">
        <v>1838</v>
      </c>
      <c r="G174" s="111" t="s">
        <v>1842</v>
      </c>
      <c r="H174" s="109" t="s">
        <v>1841</v>
      </c>
      <c r="I174" s="112" t="s">
        <v>1840</v>
      </c>
      <c r="J174" s="109" t="s">
        <v>1837</v>
      </c>
      <c r="K174" s="549" t="s">
        <v>1839</v>
      </c>
      <c r="L174" s="59"/>
    </row>
    <row r="175" spans="4:15">
      <c r="E175" s="21" t="str">
        <f t="shared" si="4"/>
        <v>Penalties:</v>
      </c>
      <c r="F175" s="110" t="s">
        <v>542</v>
      </c>
      <c r="G175" s="111" t="s">
        <v>543</v>
      </c>
      <c r="H175" s="109" t="s">
        <v>544</v>
      </c>
      <c r="I175" s="112" t="s">
        <v>545</v>
      </c>
      <c r="J175" s="109" t="s">
        <v>546</v>
      </c>
      <c r="K175" s="549" t="s">
        <v>800</v>
      </c>
      <c r="L175" s="59"/>
    </row>
    <row r="176" spans="4:15">
      <c r="E176" s="21" t="str">
        <f t="shared" si="4"/>
        <v>Naam</v>
      </c>
      <c r="F176" s="110" t="s">
        <v>403</v>
      </c>
      <c r="G176" s="111" t="s">
        <v>646</v>
      </c>
      <c r="H176" s="109" t="s">
        <v>645</v>
      </c>
      <c r="I176" s="112" t="s">
        <v>644</v>
      </c>
      <c r="J176" s="109" t="s">
        <v>403</v>
      </c>
      <c r="K176" s="549" t="s">
        <v>801</v>
      </c>
      <c r="L176" s="59"/>
    </row>
    <row r="177" spans="5:12" ht="41.25" customHeight="1">
      <c r="E177" s="21" t="str">
        <f t="shared" si="4"/>
        <v>Groeps-combinatie:</v>
      </c>
      <c r="F177" s="245" t="s">
        <v>1082</v>
      </c>
      <c r="G177" s="246" t="s">
        <v>1083</v>
      </c>
      <c r="H177" s="247" t="s">
        <v>1084</v>
      </c>
      <c r="I177" s="248" t="s">
        <v>1085</v>
      </c>
      <c r="J177" s="247" t="s">
        <v>1086</v>
      </c>
      <c r="K177" s="554" t="s">
        <v>1087</v>
      </c>
      <c r="L177" s="249"/>
    </row>
    <row r="178" spans="5:12">
      <c r="E178" s="21" t="str">
        <f t="shared" si="4"/>
        <v>Eerste in groep</v>
      </c>
      <c r="F178" s="245" t="s">
        <v>1088</v>
      </c>
      <c r="G178" s="246" t="s">
        <v>1089</v>
      </c>
      <c r="H178" s="247" t="s">
        <v>1090</v>
      </c>
      <c r="I178" s="248" t="s">
        <v>1091</v>
      </c>
      <c r="J178" s="247" t="s">
        <v>1092</v>
      </c>
      <c r="K178" s="554" t="s">
        <v>1093</v>
      </c>
      <c r="L178" s="249"/>
    </row>
    <row r="179" spans="5:12" ht="32.25" customHeight="1">
      <c r="E179" s="21" t="str">
        <f t="shared" si="4"/>
        <v>tegen derde in groep</v>
      </c>
      <c r="F179" s="245" t="s">
        <v>1094</v>
      </c>
      <c r="G179" s="246" t="s">
        <v>1095</v>
      </c>
      <c r="H179" s="247" t="s">
        <v>1096</v>
      </c>
      <c r="I179" s="248" t="s">
        <v>1097</v>
      </c>
      <c r="J179" s="247" t="s">
        <v>1098</v>
      </c>
      <c r="K179" s="554" t="s">
        <v>1099</v>
      </c>
      <c r="L179" s="249"/>
    </row>
    <row r="180" spans="5:12">
      <c r="E180" s="21" t="str">
        <f t="shared" si="4"/>
        <v>Derde van de groep</v>
      </c>
      <c r="F180" s="110" t="s">
        <v>1120</v>
      </c>
      <c r="G180" s="111" t="s">
        <v>1121</v>
      </c>
      <c r="H180" s="109" t="s">
        <v>1122</v>
      </c>
      <c r="I180" s="112" t="s">
        <v>1123</v>
      </c>
      <c r="J180" s="109" t="s">
        <v>1124</v>
      </c>
      <c r="K180" s="549" t="s">
        <v>1125</v>
      </c>
      <c r="L180" s="59"/>
    </row>
    <row r="181" spans="5:12">
      <c r="E181" s="21" t="str">
        <f t="shared" si="4"/>
        <v>Grp</v>
      </c>
      <c r="F181" s="110" t="s">
        <v>1109</v>
      </c>
      <c r="G181" s="111" t="s">
        <v>1109</v>
      </c>
      <c r="H181" s="109" t="s">
        <v>1109</v>
      </c>
      <c r="I181" s="112" t="s">
        <v>1109</v>
      </c>
      <c r="J181" s="109" t="s">
        <v>1109</v>
      </c>
      <c r="K181" s="549" t="s">
        <v>1109</v>
      </c>
      <c r="L181" s="59"/>
    </row>
    <row r="182" spans="5:12" ht="30" customHeight="1">
      <c r="E182" s="459" t="str">
        <f t="shared" si="4"/>
        <v>Groepscombinatie:</v>
      </c>
      <c r="F182" s="245" t="s">
        <v>1082</v>
      </c>
      <c r="G182" s="246" t="s">
        <v>1083</v>
      </c>
      <c r="H182" s="247" t="s">
        <v>1084</v>
      </c>
      <c r="I182" s="248" t="s">
        <v>1085</v>
      </c>
      <c r="J182" s="247" t="s">
        <v>1621</v>
      </c>
      <c r="K182" s="554" t="s">
        <v>1622</v>
      </c>
      <c r="L182" s="249"/>
    </row>
    <row r="183" spans="5:12">
      <c r="E183" s="21" t="str">
        <f t="shared" si="4"/>
        <v>Niet gekwalificeerd:</v>
      </c>
      <c r="F183" s="110" t="s">
        <v>1623</v>
      </c>
      <c r="G183" s="111" t="s">
        <v>1624</v>
      </c>
      <c r="H183" s="109" t="s">
        <v>1625</v>
      </c>
      <c r="I183" s="112" t="s">
        <v>1626</v>
      </c>
      <c r="J183" s="109" t="s">
        <v>1627</v>
      </c>
      <c r="K183" s="549" t="s">
        <v>1628</v>
      </c>
      <c r="L183" s="59"/>
    </row>
    <row r="184" spans="5:12">
      <c r="E184" s="21" t="str">
        <f t="shared" si="4"/>
        <v>tv kanaal</v>
      </c>
      <c r="F184" s="110" t="s">
        <v>1712</v>
      </c>
      <c r="G184" s="111" t="s">
        <v>1713</v>
      </c>
      <c r="H184" s="109" t="s">
        <v>1714</v>
      </c>
      <c r="I184" s="112" t="s">
        <v>1715</v>
      </c>
      <c r="J184" s="109" t="s">
        <v>1711</v>
      </c>
      <c r="K184" s="549" t="s">
        <v>1716</v>
      </c>
      <c r="L184" s="59"/>
    </row>
    <row r="185" spans="5:12">
      <c r="E185" s="21" t="str">
        <f t="shared" si="4"/>
        <v>Locatie</v>
      </c>
      <c r="F185" s="110" t="s">
        <v>392</v>
      </c>
      <c r="G185" s="111" t="s">
        <v>1717</v>
      </c>
      <c r="H185" s="109" t="s">
        <v>1718</v>
      </c>
      <c r="I185" s="112" t="s">
        <v>1719</v>
      </c>
      <c r="J185" s="109" t="s">
        <v>1720</v>
      </c>
      <c r="K185" s="549" t="s">
        <v>1721</v>
      </c>
      <c r="L185" s="59"/>
    </row>
    <row r="186" spans="5:12">
      <c r="E186" s="21" t="str">
        <f t="shared" si="4"/>
        <v>FIFA-rank.</v>
      </c>
      <c r="F186" s="110" t="s">
        <v>1844</v>
      </c>
      <c r="G186" s="111" t="s">
        <v>1845</v>
      </c>
      <c r="H186" s="109" t="s">
        <v>1846</v>
      </c>
      <c r="I186" s="112" t="s">
        <v>1846</v>
      </c>
      <c r="J186" s="109" t="s">
        <v>1843</v>
      </c>
      <c r="K186" s="549" t="s">
        <v>1847</v>
      </c>
      <c r="L186" s="59"/>
    </row>
    <row r="187" spans="5:12">
      <c r="E187" s="21">
        <f t="shared" si="4"/>
        <v>0</v>
      </c>
      <c r="F187" s="110"/>
      <c r="G187" s="111"/>
      <c r="H187" s="109"/>
      <c r="I187" s="112"/>
      <c r="J187" s="109"/>
      <c r="K187" s="549"/>
      <c r="L187" s="59"/>
    </row>
    <row r="188" spans="5:12" ht="28.5">
      <c r="E188" s="21"/>
      <c r="F188" s="64" t="s">
        <v>193</v>
      </c>
      <c r="G188" s="40"/>
      <c r="H188" s="40"/>
      <c r="I188" s="40"/>
      <c r="J188" s="40"/>
      <c r="K188" s="546"/>
      <c r="L188" s="65"/>
    </row>
    <row r="189" spans="5:12" ht="54.75" customHeight="1">
      <c r="E189" s="21" t="str">
        <f t="shared" si="4"/>
        <v>Groepen met Fair-Play score:</v>
      </c>
      <c r="F189" s="121" t="s">
        <v>1729</v>
      </c>
      <c r="G189" s="122" t="s">
        <v>1728</v>
      </c>
      <c r="H189" s="123" t="s">
        <v>1727</v>
      </c>
      <c r="I189" s="124" t="s">
        <v>1726</v>
      </c>
      <c r="J189" s="123" t="s">
        <v>1724</v>
      </c>
      <c r="K189" s="554" t="s">
        <v>1725</v>
      </c>
      <c r="L189" s="66"/>
    </row>
    <row r="190" spans="5:12" ht="51.75" customHeight="1">
      <c r="E190" s="21" t="str">
        <f t="shared" si="4"/>
        <v>De rangschikking is verduidelijkt in alle groepen.</v>
      </c>
      <c r="F190" s="121" t="s">
        <v>280</v>
      </c>
      <c r="G190" s="122" t="s">
        <v>283</v>
      </c>
      <c r="H190" s="123" t="s">
        <v>282</v>
      </c>
      <c r="I190" s="124" t="s">
        <v>281</v>
      </c>
      <c r="J190" s="123" t="s">
        <v>279</v>
      </c>
      <c r="K190" s="554" t="s">
        <v>802</v>
      </c>
      <c r="L190" s="66"/>
    </row>
    <row r="191" spans="5:12" ht="16.5" customHeight="1">
      <c r="E191" s="21" t="str">
        <f t="shared" si="4"/>
        <v>en</v>
      </c>
      <c r="F191" s="117" t="s">
        <v>309</v>
      </c>
      <c r="G191" s="118" t="s">
        <v>310</v>
      </c>
      <c r="H191" s="119" t="s">
        <v>311</v>
      </c>
      <c r="I191" s="120" t="s">
        <v>312</v>
      </c>
      <c r="J191" s="125" t="s">
        <v>313</v>
      </c>
      <c r="K191" s="554" t="s">
        <v>803</v>
      </c>
      <c r="L191" s="84"/>
    </row>
    <row r="192" spans="5:12" ht="20.25" customHeight="1">
      <c r="E192" s="21" t="str">
        <f t="shared" si="4"/>
        <v>Ongeldig resultaat!</v>
      </c>
      <c r="F192" s="126" t="s">
        <v>274</v>
      </c>
      <c r="G192" s="127" t="s">
        <v>276</v>
      </c>
      <c r="H192" s="128" t="s">
        <v>275</v>
      </c>
      <c r="I192" s="129" t="s">
        <v>277</v>
      </c>
      <c r="J192" s="128" t="s">
        <v>273</v>
      </c>
      <c r="K192" s="554" t="s">
        <v>804</v>
      </c>
      <c r="L192" s="67"/>
    </row>
    <row r="193" spans="5:12" ht="141.75" customHeight="1">
      <c r="E193" s="21" t="str">
        <f t="shared" si="4"/>
        <v>Hier kunnen de strafpunten voor de fair play-beoordeling worden ingevoerd.</v>
      </c>
      <c r="F193" s="130" t="s">
        <v>1870</v>
      </c>
      <c r="G193" s="131" t="s">
        <v>1871</v>
      </c>
      <c r="H193" s="132" t="s">
        <v>1872</v>
      </c>
      <c r="I193" s="133" t="s">
        <v>1873</v>
      </c>
      <c r="J193" s="132" t="s">
        <v>1874</v>
      </c>
      <c r="K193" s="554" t="s">
        <v>1875</v>
      </c>
      <c r="L193" s="102"/>
    </row>
    <row r="194" spans="5:12" ht="35.25" customHeight="1">
      <c r="E194" s="21" t="str">
        <f t="shared" si="4"/>
        <v>Klik hier en kies de tijdzone:</v>
      </c>
      <c r="F194" s="130" t="s">
        <v>286</v>
      </c>
      <c r="G194" s="131" t="s">
        <v>384</v>
      </c>
      <c r="H194" s="132" t="s">
        <v>389</v>
      </c>
      <c r="I194" s="133" t="s">
        <v>388</v>
      </c>
      <c r="J194" s="149" t="s">
        <v>382</v>
      </c>
      <c r="K194" s="554" t="s">
        <v>805</v>
      </c>
      <c r="L194" s="102"/>
    </row>
    <row r="195" spans="5:12" ht="36.75" customHeight="1">
      <c r="E195" s="21" t="str">
        <f t="shared" si="4"/>
        <v>Tijdzone van het gastland:</v>
      </c>
      <c r="F195" s="130" t="s">
        <v>397</v>
      </c>
      <c r="G195" s="131" t="s">
        <v>398</v>
      </c>
      <c r="H195" s="132" t="s">
        <v>400</v>
      </c>
      <c r="I195" s="133" t="s">
        <v>401</v>
      </c>
      <c r="J195" s="149" t="s">
        <v>399</v>
      </c>
      <c r="K195" s="554" t="s">
        <v>806</v>
      </c>
      <c r="L195" s="102"/>
    </row>
    <row r="196" spans="5:12" ht="38.25" customHeight="1">
      <c r="E196" s="21" t="str">
        <f t="shared" si="4"/>
        <v>Klik hier en kies de taal:</v>
      </c>
      <c r="F196" s="130" t="s">
        <v>113</v>
      </c>
      <c r="G196" s="131" t="s">
        <v>385</v>
      </c>
      <c r="H196" s="132" t="s">
        <v>386</v>
      </c>
      <c r="I196" s="133" t="s">
        <v>387</v>
      </c>
      <c r="J196" s="149" t="s">
        <v>383</v>
      </c>
      <c r="K196" s="554" t="s">
        <v>807</v>
      </c>
      <c r="L196" s="102"/>
    </row>
    <row r="197" spans="5:12" ht="16.5" customHeight="1">
      <c r="E197" s="21" t="str">
        <f t="shared" si="4"/>
        <v xml:space="preserve"> : </v>
      </c>
      <c r="F197" s="117" t="s">
        <v>364</v>
      </c>
      <c r="G197" s="118" t="s">
        <v>364</v>
      </c>
      <c r="H197" s="119" t="s">
        <v>364</v>
      </c>
      <c r="I197" s="120" t="s">
        <v>364</v>
      </c>
      <c r="J197" s="125" t="s">
        <v>363</v>
      </c>
      <c r="K197" s="554" t="s">
        <v>363</v>
      </c>
      <c r="L197" s="84"/>
    </row>
    <row r="198" spans="5:12" ht="96" customHeight="1">
      <c r="E198" s="21" t="str">
        <f t="shared" si="4"/>
        <v>De tijdzone moet dienovereenkomstig worden aangepast voor de zomertijd (b.v. UTC+2 in plaats van UTC+1).</v>
      </c>
      <c r="F198" s="130" t="s">
        <v>1038</v>
      </c>
      <c r="G198" s="131" t="s">
        <v>1039</v>
      </c>
      <c r="H198" s="132" t="s">
        <v>1040</v>
      </c>
      <c r="I198" s="133" t="s">
        <v>1041</v>
      </c>
      <c r="J198" s="149" t="s">
        <v>1042</v>
      </c>
      <c r="K198" s="354" t="s">
        <v>1043</v>
      </c>
      <c r="L198" s="102"/>
    </row>
    <row r="199" spans="5:12" ht="129" customHeight="1">
      <c r="E199" s="21" t="str">
        <f t="shared" si="4"/>
        <v>Een rode stip betekent dat de fair play rating of de FIFA-wereldranking de plaatsing van dit team zal bepalen</v>
      </c>
      <c r="F199" s="130" t="s">
        <v>1824</v>
      </c>
      <c r="G199" s="131" t="s">
        <v>1825</v>
      </c>
      <c r="H199" s="132" t="s">
        <v>1827</v>
      </c>
      <c r="I199" s="133" t="s">
        <v>1826</v>
      </c>
      <c r="J199" s="149" t="s">
        <v>1823</v>
      </c>
      <c r="K199" s="354" t="s">
        <v>1828</v>
      </c>
      <c r="L199" s="102"/>
    </row>
    <row r="200" spans="5:12" ht="18" customHeight="1">
      <c r="E200" s="21">
        <f t="shared" si="4"/>
        <v>0</v>
      </c>
      <c r="F200" s="130"/>
      <c r="G200" s="131"/>
      <c r="H200" s="132"/>
      <c r="I200" s="133"/>
      <c r="J200" s="149"/>
      <c r="K200" s="354"/>
      <c r="L200" s="102"/>
    </row>
    <row r="201" spans="5:12" ht="15" thickBot="1">
      <c r="E201" s="21">
        <f t="shared" si="4"/>
        <v>0</v>
      </c>
      <c r="F201" s="134"/>
      <c r="G201" s="135"/>
      <c r="H201" s="136"/>
      <c r="I201" s="137"/>
      <c r="J201" s="138"/>
      <c r="K201" s="550"/>
      <c r="L201" s="103"/>
    </row>
    <row r="202" spans="5:12" ht="15.5" thickTop="1" thickBot="1">
      <c r="E202" s="21"/>
      <c r="K202" s="546"/>
    </row>
    <row r="203" spans="5:12" ht="29" thickTop="1">
      <c r="E203" s="21"/>
      <c r="F203" s="61" t="s">
        <v>561</v>
      </c>
      <c r="G203" s="223"/>
      <c r="H203" s="223"/>
      <c r="I203" s="223"/>
      <c r="J203" s="223"/>
      <c r="K203" s="553"/>
      <c r="L203" s="224"/>
    </row>
    <row r="204" spans="5:12">
      <c r="E204" s="21" t="str">
        <f t="shared" si="4"/>
        <v>Voorspellingen</v>
      </c>
      <c r="F204" s="110" t="s">
        <v>561</v>
      </c>
      <c r="G204" s="111" t="s">
        <v>602</v>
      </c>
      <c r="H204" s="109" t="s">
        <v>601</v>
      </c>
      <c r="I204" s="112" t="s">
        <v>600</v>
      </c>
      <c r="J204" s="109" t="s">
        <v>612</v>
      </c>
      <c r="K204" s="554" t="s">
        <v>808</v>
      </c>
      <c r="L204" s="84"/>
    </row>
    <row r="205" spans="5:12">
      <c r="E205" s="21" t="str">
        <f t="shared" si="4"/>
        <v>Juiste resultaten</v>
      </c>
      <c r="F205" s="110" t="s">
        <v>562</v>
      </c>
      <c r="G205" s="111" t="s">
        <v>597</v>
      </c>
      <c r="H205" s="109" t="s">
        <v>598</v>
      </c>
      <c r="I205" s="112" t="s">
        <v>599</v>
      </c>
      <c r="J205" s="109" t="s">
        <v>565</v>
      </c>
      <c r="K205" s="554" t="s">
        <v>809</v>
      </c>
      <c r="L205" s="84"/>
    </row>
    <row r="206" spans="5:12">
      <c r="E206" s="21" t="str">
        <f t="shared" si="4"/>
        <v>Resultaten</v>
      </c>
      <c r="F206" s="110" t="s">
        <v>581</v>
      </c>
      <c r="G206" s="111" t="s">
        <v>596</v>
      </c>
      <c r="H206" s="109" t="s">
        <v>595</v>
      </c>
      <c r="I206" s="112" t="s">
        <v>594</v>
      </c>
      <c r="J206" s="109" t="s">
        <v>582</v>
      </c>
      <c r="K206" s="554" t="s">
        <v>810</v>
      </c>
      <c r="L206" s="84"/>
    </row>
    <row r="207" spans="5:12">
      <c r="E207" s="21" t="str">
        <f t="shared" si="4"/>
        <v>Punten:</v>
      </c>
      <c r="F207" s="110" t="s">
        <v>1698</v>
      </c>
      <c r="G207" s="111" t="s">
        <v>1700</v>
      </c>
      <c r="H207" s="109" t="s">
        <v>1701</v>
      </c>
      <c r="I207" s="112" t="s">
        <v>1698</v>
      </c>
      <c r="J207" s="109" t="s">
        <v>1697</v>
      </c>
      <c r="K207" s="554" t="s">
        <v>1699</v>
      </c>
      <c r="L207" s="84"/>
    </row>
    <row r="208" spans="5:12">
      <c r="E208" s="21" t="str">
        <f t="shared" si="4"/>
        <v>Totaal:</v>
      </c>
      <c r="F208" s="110" t="s">
        <v>189</v>
      </c>
      <c r="G208" s="111" t="s">
        <v>593</v>
      </c>
      <c r="H208" s="109" t="s">
        <v>592</v>
      </c>
      <c r="I208" s="112" t="s">
        <v>593</v>
      </c>
      <c r="J208" s="109" t="s">
        <v>586</v>
      </c>
      <c r="K208" s="554" t="s">
        <v>811</v>
      </c>
      <c r="L208" s="84"/>
    </row>
    <row r="209" spans="5:12">
      <c r="E209" s="21" t="str">
        <f t="shared" si="4"/>
        <v>Result.</v>
      </c>
      <c r="F209" s="110" t="s">
        <v>581</v>
      </c>
      <c r="G209" s="111" t="s">
        <v>659</v>
      </c>
      <c r="H209" s="109" t="s">
        <v>658</v>
      </c>
      <c r="I209" s="112" t="s">
        <v>657</v>
      </c>
      <c r="J209" s="109" t="s">
        <v>582</v>
      </c>
      <c r="K209" s="554" t="s">
        <v>659</v>
      </c>
      <c r="L209" s="84"/>
    </row>
    <row r="210" spans="5:12">
      <c r="E210" s="21" t="str">
        <f t="shared" si="4"/>
        <v>W/G/V</v>
      </c>
      <c r="F210" s="110" t="s">
        <v>653</v>
      </c>
      <c r="G210" s="111" t="s">
        <v>654</v>
      </c>
      <c r="H210" s="109" t="s">
        <v>655</v>
      </c>
      <c r="I210" s="112" t="s">
        <v>656</v>
      </c>
      <c r="J210" s="109" t="s">
        <v>652</v>
      </c>
      <c r="K210" s="554" t="s">
        <v>812</v>
      </c>
      <c r="L210" s="84"/>
    </row>
    <row r="211" spans="5:12">
      <c r="E211" s="21" t="str">
        <f t="shared" si="4"/>
        <v>DS</v>
      </c>
      <c r="F211" s="110" t="s">
        <v>190</v>
      </c>
      <c r="G211" s="111" t="s">
        <v>662</v>
      </c>
      <c r="H211" s="109" t="s">
        <v>660</v>
      </c>
      <c r="I211" s="112" t="s">
        <v>661</v>
      </c>
      <c r="J211" s="109" t="s">
        <v>663</v>
      </c>
      <c r="K211" s="554" t="s">
        <v>838</v>
      </c>
      <c r="L211" s="84"/>
    </row>
    <row r="212" spans="5:12">
      <c r="E212" s="21" t="str">
        <f t="shared" si="4"/>
        <v>exact</v>
      </c>
      <c r="F212" s="110" t="s">
        <v>584</v>
      </c>
      <c r="G212" s="111" t="s">
        <v>587</v>
      </c>
      <c r="H212" s="109" t="s">
        <v>588</v>
      </c>
      <c r="I212" s="112" t="s">
        <v>587</v>
      </c>
      <c r="J212" s="109" t="s">
        <v>583</v>
      </c>
      <c r="K212" s="554" t="s">
        <v>584</v>
      </c>
      <c r="L212" s="84"/>
    </row>
    <row r="213" spans="5:12">
      <c r="E213" s="21" t="str">
        <f t="shared" si="4"/>
        <v>teams</v>
      </c>
      <c r="F213" s="110" t="s">
        <v>585</v>
      </c>
      <c r="G213" s="111" t="s">
        <v>589</v>
      </c>
      <c r="H213" s="109" t="s">
        <v>590</v>
      </c>
      <c r="I213" s="112" t="s">
        <v>591</v>
      </c>
      <c r="J213" s="109" t="s">
        <v>307</v>
      </c>
      <c r="K213" s="554" t="s">
        <v>585</v>
      </c>
      <c r="L213" s="84"/>
    </row>
    <row r="214" spans="5:12">
      <c r="E214" s="21" t="str">
        <f t="shared" ref="E214" si="5">IF($C$3,F214,IF($C$4,G214,IF($C$5,H214,IF($C$6,I214,IF($C$7,J214,IF($C$8,K214,IF(L214&lt;&gt;"",L214,F214)))))))</f>
        <v>Zestiende finale</v>
      </c>
      <c r="F214" s="110" t="s">
        <v>897</v>
      </c>
      <c r="G214" s="111" t="s">
        <v>898</v>
      </c>
      <c r="H214" s="109" t="s">
        <v>900</v>
      </c>
      <c r="I214" s="112" t="s">
        <v>901</v>
      </c>
      <c r="J214" s="109" t="s">
        <v>896</v>
      </c>
      <c r="K214" s="554" t="s">
        <v>899</v>
      </c>
      <c r="L214" s="84"/>
    </row>
    <row r="215" spans="5:12">
      <c r="E215" s="21" t="str">
        <f t="shared" ref="E215:E247" si="6">IF($C$3,F215,IF($C$4,G215,IF($C$5,H215,IF($C$6,I215,IF($C$7,J215,IF($C$8,K215,IF(L215&lt;&gt;"",L215,F215)))))))</f>
        <v>Achtste finale</v>
      </c>
      <c r="F215" s="110" t="s">
        <v>566</v>
      </c>
      <c r="G215" s="111" t="s">
        <v>567</v>
      </c>
      <c r="H215" s="109" t="s">
        <v>568</v>
      </c>
      <c r="I215" s="112" t="s">
        <v>569</v>
      </c>
      <c r="J215" s="109" t="s">
        <v>570</v>
      </c>
      <c r="K215" s="554" t="s">
        <v>813</v>
      </c>
      <c r="L215" s="84"/>
    </row>
    <row r="216" spans="5:12">
      <c r="E216" s="21" t="str">
        <f t="shared" si="6"/>
        <v>Kwart finale</v>
      </c>
      <c r="F216" s="146" t="s">
        <v>571</v>
      </c>
      <c r="G216" s="111" t="s">
        <v>572</v>
      </c>
      <c r="H216" s="109" t="s">
        <v>573</v>
      </c>
      <c r="I216" s="112" t="s">
        <v>574</v>
      </c>
      <c r="J216" s="109" t="s">
        <v>575</v>
      </c>
      <c r="K216" s="554" t="s">
        <v>814</v>
      </c>
      <c r="L216" s="84"/>
    </row>
    <row r="217" spans="5:12">
      <c r="E217" s="21" t="str">
        <f t="shared" si="6"/>
        <v>Halve finale</v>
      </c>
      <c r="F217" s="110" t="s">
        <v>576</v>
      </c>
      <c r="G217" s="111" t="s">
        <v>577</v>
      </c>
      <c r="H217" s="109" t="s">
        <v>578</v>
      </c>
      <c r="I217" s="112" t="s">
        <v>579</v>
      </c>
      <c r="J217" s="109" t="s">
        <v>580</v>
      </c>
      <c r="K217" s="554" t="s">
        <v>815</v>
      </c>
      <c r="L217" s="84"/>
    </row>
    <row r="218" spans="5:12">
      <c r="E218" s="21" t="str">
        <f t="shared" si="6"/>
        <v>Derde plaats</v>
      </c>
      <c r="F218" s="110" t="s">
        <v>152</v>
      </c>
      <c r="G218" s="111" t="s">
        <v>394</v>
      </c>
      <c r="H218" s="109" t="s">
        <v>395</v>
      </c>
      <c r="I218" s="112" t="s">
        <v>243</v>
      </c>
      <c r="J218" s="109" t="s">
        <v>167</v>
      </c>
      <c r="K218" s="554" t="s">
        <v>799</v>
      </c>
      <c r="L218" s="84"/>
    </row>
    <row r="219" spans="5:12">
      <c r="E219" s="21" t="str">
        <f t="shared" si="6"/>
        <v>Finale</v>
      </c>
      <c r="F219" s="110" t="s">
        <v>55</v>
      </c>
      <c r="G219" s="111" t="s">
        <v>55</v>
      </c>
      <c r="H219" s="109" t="s">
        <v>168</v>
      </c>
      <c r="I219" s="112" t="s">
        <v>55</v>
      </c>
      <c r="J219" s="109" t="s">
        <v>168</v>
      </c>
      <c r="K219" s="554" t="s">
        <v>168</v>
      </c>
      <c r="L219" s="84"/>
    </row>
    <row r="220" spans="5:12">
      <c r="E220" s="21" t="str">
        <f t="shared" si="6"/>
        <v>Wereldkampioen</v>
      </c>
      <c r="F220" s="174" t="s">
        <v>1013</v>
      </c>
      <c r="G220" s="108" t="s">
        <v>1014</v>
      </c>
      <c r="H220" s="175" t="s">
        <v>1015</v>
      </c>
      <c r="I220" s="176" t="s">
        <v>1016</v>
      </c>
      <c r="J220" s="175" t="s">
        <v>1017</v>
      </c>
      <c r="K220" s="554" t="s">
        <v>1018</v>
      </c>
      <c r="L220" s="244"/>
    </row>
    <row r="221" spans="5:12">
      <c r="E221" s="21" t="str">
        <f t="shared" si="6"/>
        <v>Opmerking:</v>
      </c>
      <c r="F221" s="174" t="s">
        <v>603</v>
      </c>
      <c r="G221" s="108" t="s">
        <v>605</v>
      </c>
      <c r="H221" s="175" t="s">
        <v>606</v>
      </c>
      <c r="I221" s="176" t="s">
        <v>607</v>
      </c>
      <c r="J221" s="175" t="s">
        <v>604</v>
      </c>
      <c r="K221" s="554" t="s">
        <v>816</v>
      </c>
      <c r="L221" s="244"/>
    </row>
    <row r="222" spans="5:12">
      <c r="E222" s="21" t="str">
        <f t="shared" si="6"/>
        <v>Factoren</v>
      </c>
      <c r="F222" s="174" t="s">
        <v>557</v>
      </c>
      <c r="G222" s="108" t="s">
        <v>611</v>
      </c>
      <c r="H222" s="175" t="s">
        <v>610</v>
      </c>
      <c r="I222" s="176" t="s">
        <v>609</v>
      </c>
      <c r="J222" s="175" t="s">
        <v>608</v>
      </c>
      <c r="K222" s="554" t="s">
        <v>817</v>
      </c>
      <c r="L222" s="244"/>
    </row>
    <row r="223" spans="5:12">
      <c r="E223" s="21" t="str">
        <f t="shared" si="6"/>
        <v>Instellingen</v>
      </c>
      <c r="F223" s="174" t="s">
        <v>669</v>
      </c>
      <c r="G223" s="108" t="s">
        <v>671</v>
      </c>
      <c r="H223" s="175" t="s">
        <v>672</v>
      </c>
      <c r="I223" s="176" t="s">
        <v>673</v>
      </c>
      <c r="J223" s="175" t="s">
        <v>670</v>
      </c>
      <c r="K223" s="554" t="s">
        <v>818</v>
      </c>
      <c r="L223" s="244"/>
    </row>
    <row r="224" spans="5:12">
      <c r="E224" s="21" t="str">
        <f t="shared" si="6"/>
        <v>grote aant.</v>
      </c>
      <c r="F224" s="110" t="s">
        <v>668</v>
      </c>
      <c r="G224" s="111" t="s">
        <v>667</v>
      </c>
      <c r="H224" s="109" t="s">
        <v>664</v>
      </c>
      <c r="I224" s="112" t="s">
        <v>665</v>
      </c>
      <c r="J224" s="109" t="s">
        <v>666</v>
      </c>
      <c r="K224" s="554" t="s">
        <v>819</v>
      </c>
      <c r="L224" s="244"/>
    </row>
    <row r="225" spans="5:12" ht="31.5" customHeight="1">
      <c r="E225" s="21" t="str">
        <f t="shared" si="6"/>
        <v>Gewonnen/Gelijkspel/Verloren:</v>
      </c>
      <c r="F225" s="130" t="s">
        <v>703</v>
      </c>
      <c r="G225" s="131" t="s">
        <v>702</v>
      </c>
      <c r="H225" s="132" t="s">
        <v>701</v>
      </c>
      <c r="I225" s="133" t="s">
        <v>700</v>
      </c>
      <c r="J225" s="132" t="s">
        <v>699</v>
      </c>
      <c r="K225" s="554" t="s">
        <v>820</v>
      </c>
      <c r="L225" s="102"/>
    </row>
    <row r="226" spans="5:12" ht="15" customHeight="1">
      <c r="E226" s="21" t="str">
        <f t="shared" si="6"/>
        <v>verschil in doelpunten</v>
      </c>
      <c r="F226" s="130" t="s">
        <v>628</v>
      </c>
      <c r="G226" s="131" t="s">
        <v>629</v>
      </c>
      <c r="H226" s="132" t="s">
        <v>630</v>
      </c>
      <c r="I226" s="133" t="s">
        <v>631</v>
      </c>
      <c r="J226" s="132" t="s">
        <v>632</v>
      </c>
      <c r="K226" s="554" t="s">
        <v>821</v>
      </c>
      <c r="L226" s="102"/>
    </row>
    <row r="227" spans="5:12" ht="46.5" customHeight="1">
      <c r="E227" s="21" t="str">
        <f t="shared" si="6"/>
        <v>Veel doelpunten - goede voorspelling</v>
      </c>
      <c r="F227" s="130" t="s">
        <v>706</v>
      </c>
      <c r="G227" s="131" t="s">
        <v>707</v>
      </c>
      <c r="H227" s="132" t="s">
        <v>708</v>
      </c>
      <c r="I227" s="133" t="s">
        <v>704</v>
      </c>
      <c r="J227" s="132" t="s">
        <v>705</v>
      </c>
      <c r="K227" s="554" t="s">
        <v>822</v>
      </c>
      <c r="L227" s="102"/>
    </row>
    <row r="228" spans="5:12" ht="15" customHeight="1">
      <c r="E228" s="21" t="str">
        <f t="shared" si="6"/>
        <v>exact aantal doelpunten</v>
      </c>
      <c r="F228" s="130" t="s">
        <v>637</v>
      </c>
      <c r="G228" s="131" t="s">
        <v>636</v>
      </c>
      <c r="H228" s="132" t="s">
        <v>635</v>
      </c>
      <c r="I228" s="133" t="s">
        <v>634</v>
      </c>
      <c r="J228" s="132" t="s">
        <v>633</v>
      </c>
      <c r="K228" s="554" t="s">
        <v>823</v>
      </c>
      <c r="L228" s="102"/>
    </row>
    <row r="229" spans="5:12" ht="35.25" customHeight="1">
      <c r="E229" s="21" t="str">
        <f t="shared" si="6"/>
        <v>juiste voorspelling van team dat achtste finales bereikt</v>
      </c>
      <c r="F229" s="130" t="s">
        <v>717</v>
      </c>
      <c r="G229" s="131" t="s">
        <v>716</v>
      </c>
      <c r="H229" s="132" t="s">
        <v>718</v>
      </c>
      <c r="I229" s="133" t="s">
        <v>715</v>
      </c>
      <c r="J229" s="132" t="s">
        <v>714</v>
      </c>
      <c r="K229" s="554" t="s">
        <v>824</v>
      </c>
      <c r="L229" s="102"/>
    </row>
    <row r="230" spans="5:12" ht="137.25" customHeight="1">
      <c r="E230" s="21" t="str">
        <f t="shared" si="6"/>
        <v>Als u bijvoorbeeld nog tien mensen wilt toevoegen, selecteert u de kolommen HI tot en met MG en kopieert u deze naar rechts. Afgerond. (Bladbescherming verwijderen!)</v>
      </c>
      <c r="F230" s="130" t="s">
        <v>902</v>
      </c>
      <c r="G230" s="131" t="s">
        <v>903</v>
      </c>
      <c r="H230" s="132" t="s">
        <v>904</v>
      </c>
      <c r="I230" s="133" t="s">
        <v>905</v>
      </c>
      <c r="J230" s="132" t="s">
        <v>906</v>
      </c>
      <c r="K230" s="554" t="s">
        <v>907</v>
      </c>
      <c r="L230" s="102"/>
    </row>
    <row r="231" spans="5:12" ht="94.5" customHeight="1">
      <c r="E231" s="21" t="str">
        <f t="shared" si="6"/>
        <v>Om de teams te voorspellen die de achtste finales halen, plaats de teamnummers in de gele cellen.</v>
      </c>
      <c r="F231" s="130" t="s">
        <v>651</v>
      </c>
      <c r="G231" s="131" t="s">
        <v>650</v>
      </c>
      <c r="H231" s="132" t="s">
        <v>649</v>
      </c>
      <c r="I231" s="133" t="s">
        <v>648</v>
      </c>
      <c r="J231" s="132" t="s">
        <v>647</v>
      </c>
      <c r="K231" s="554" t="s">
        <v>825</v>
      </c>
      <c r="L231" s="102"/>
    </row>
    <row r="232" spans="5:12" ht="109.5" customHeight="1">
      <c r="E232" s="21" t="str">
        <f t="shared" si="6"/>
        <v>De factoren voor de individuele categorieën en andere instellingen vóóraf kunnen opgevoerd worden op het tabblad: 'Prsettings'.</v>
      </c>
      <c r="F232" s="130" t="s">
        <v>712</v>
      </c>
      <c r="G232" s="131" t="s">
        <v>711</v>
      </c>
      <c r="H232" s="132" t="s">
        <v>710</v>
      </c>
      <c r="I232" s="133" t="s">
        <v>713</v>
      </c>
      <c r="J232" s="132" t="s">
        <v>709</v>
      </c>
      <c r="K232" s="554" t="s">
        <v>826</v>
      </c>
      <c r="L232" s="102"/>
    </row>
    <row r="233" spans="5:12">
      <c r="E233" s="21" t="str">
        <f t="shared" si="6"/>
        <v>Toegang tot de data</v>
      </c>
      <c r="F233" s="245" t="s">
        <v>613</v>
      </c>
      <c r="G233" s="246" t="s">
        <v>615</v>
      </c>
      <c r="H233" s="247" t="s">
        <v>616</v>
      </c>
      <c r="I233" s="248" t="s">
        <v>617</v>
      </c>
      <c r="J233" s="247" t="s">
        <v>614</v>
      </c>
      <c r="K233" s="554" t="s">
        <v>827</v>
      </c>
      <c r="L233" s="249"/>
    </row>
    <row r="234" spans="5:12">
      <c r="E234" s="21" t="str">
        <f t="shared" si="6"/>
        <v>Tabblad</v>
      </c>
      <c r="F234" s="130" t="s">
        <v>619</v>
      </c>
      <c r="G234" s="131" t="s">
        <v>621</v>
      </c>
      <c r="H234" s="132" t="s">
        <v>622</v>
      </c>
      <c r="I234" s="133" t="s">
        <v>620</v>
      </c>
      <c r="J234" s="132" t="s">
        <v>618</v>
      </c>
      <c r="K234" s="554" t="s">
        <v>828</v>
      </c>
      <c r="L234" s="102"/>
    </row>
    <row r="235" spans="5:12" ht="38.25" customHeight="1">
      <c r="E235" s="21" t="str">
        <f t="shared" si="6"/>
        <v>Finale/derde plaats winnaar:</v>
      </c>
      <c r="F235" s="257" t="s">
        <v>623</v>
      </c>
      <c r="G235" s="258" t="s">
        <v>624</v>
      </c>
      <c r="H235" s="259" t="s">
        <v>625</v>
      </c>
      <c r="I235" s="260" t="s">
        <v>626</v>
      </c>
      <c r="J235" s="259" t="s">
        <v>627</v>
      </c>
      <c r="K235" s="554" t="s">
        <v>829</v>
      </c>
      <c r="L235" s="261"/>
    </row>
    <row r="236" spans="5:12" ht="43.5">
      <c r="E236" s="21" t="str">
        <f t="shared" si="6"/>
        <v>Punten voor verschil in doelpunten bij een gelijkspel:</v>
      </c>
      <c r="F236" s="245" t="s">
        <v>676</v>
      </c>
      <c r="G236" s="246" t="s">
        <v>677</v>
      </c>
      <c r="H236" s="247" t="s">
        <v>678</v>
      </c>
      <c r="I236" s="248" t="s">
        <v>675</v>
      </c>
      <c r="J236" s="247" t="s">
        <v>674</v>
      </c>
      <c r="K236" s="554" t="s">
        <v>830</v>
      </c>
      <c r="L236" s="249"/>
    </row>
    <row r="237" spans="5:12">
      <c r="E237" s="21" t="str">
        <f t="shared" si="6"/>
        <v>ja</v>
      </c>
      <c r="F237" s="245" t="s">
        <v>681</v>
      </c>
      <c r="G237" s="246" t="s">
        <v>684</v>
      </c>
      <c r="H237" s="247" t="s">
        <v>683</v>
      </c>
      <c r="I237" s="248" t="s">
        <v>685</v>
      </c>
      <c r="J237" s="247" t="s">
        <v>679</v>
      </c>
      <c r="K237" s="554" t="s">
        <v>679</v>
      </c>
      <c r="L237" s="249"/>
    </row>
    <row r="238" spans="5:12">
      <c r="E238" s="21" t="str">
        <f t="shared" si="6"/>
        <v>nee</v>
      </c>
      <c r="F238" s="245" t="s">
        <v>682</v>
      </c>
      <c r="G238" s="246" t="s">
        <v>682</v>
      </c>
      <c r="H238" s="247" t="s">
        <v>682</v>
      </c>
      <c r="I238" s="248" t="s">
        <v>686</v>
      </c>
      <c r="J238" s="247" t="s">
        <v>680</v>
      </c>
      <c r="K238" s="554" t="s">
        <v>831</v>
      </c>
      <c r="L238" s="249"/>
    </row>
    <row r="239" spans="5:12" ht="51" customHeight="1">
      <c r="E239" s="21" t="str">
        <f t="shared" si="6"/>
        <v>min. aantal goals voor de keuze: 'veel doelpunten' (bij gelijkspel):</v>
      </c>
      <c r="F239" s="130" t="s">
        <v>687</v>
      </c>
      <c r="G239" s="131" t="s">
        <v>688</v>
      </c>
      <c r="H239" s="132" t="s">
        <v>689</v>
      </c>
      <c r="I239" s="133" t="s">
        <v>696</v>
      </c>
      <c r="J239" s="132" t="s">
        <v>690</v>
      </c>
      <c r="K239" s="554" t="s">
        <v>832</v>
      </c>
      <c r="L239" s="102"/>
    </row>
    <row r="240" spans="5:12" ht="43.5">
      <c r="E240" s="21" t="str">
        <f t="shared" si="6"/>
        <v>min. aantal goals voor de keuze: 'groot verschil in doelpunten':</v>
      </c>
      <c r="F240" s="130" t="s">
        <v>695</v>
      </c>
      <c r="G240" s="131" t="s">
        <v>694</v>
      </c>
      <c r="H240" s="132" t="s">
        <v>693</v>
      </c>
      <c r="I240" s="133" t="s">
        <v>692</v>
      </c>
      <c r="J240" s="132" t="s">
        <v>691</v>
      </c>
      <c r="K240" s="554" t="s">
        <v>833</v>
      </c>
      <c r="L240" s="102"/>
    </row>
    <row r="241" spans="5:12" ht="391.5">
      <c r="E241" s="21" t="str">
        <f t="shared" si="6"/>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F241" s="130" t="s">
        <v>735</v>
      </c>
      <c r="G241" s="131" t="s">
        <v>738</v>
      </c>
      <c r="H241" s="132" t="s">
        <v>736</v>
      </c>
      <c r="I241" s="133" t="s">
        <v>737</v>
      </c>
      <c r="J241" s="132" t="s">
        <v>734</v>
      </c>
      <c r="K241" s="554" t="s">
        <v>834</v>
      </c>
      <c r="L241" s="102"/>
    </row>
    <row r="242" spans="5:12" ht="258.75" customHeight="1">
      <c r="E242" s="21" t="str">
        <f t="shared" si="6"/>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F242" s="130" t="s">
        <v>721</v>
      </c>
      <c r="G242" s="131" t="s">
        <v>722</v>
      </c>
      <c r="H242" s="132" t="s">
        <v>723</v>
      </c>
      <c r="I242" s="133" t="s">
        <v>720</v>
      </c>
      <c r="J242" s="132" t="s">
        <v>719</v>
      </c>
      <c r="K242" s="554" t="s">
        <v>835</v>
      </c>
      <c r="L242" s="102"/>
    </row>
    <row r="243" spans="5:12" ht="47.25" customHeight="1">
      <c r="E243" s="21" t="str">
        <f t="shared" si="6"/>
        <v>Hoeveel doelpunten worden minimaal bedoeld bij de keuze: 'veel doelpunten'?</v>
      </c>
      <c r="F243" s="130" t="s">
        <v>724</v>
      </c>
      <c r="G243" s="131" t="s">
        <v>725</v>
      </c>
      <c r="H243" s="132" t="s">
        <v>726</v>
      </c>
      <c r="I243" s="133" t="s">
        <v>727</v>
      </c>
      <c r="J243" s="132" t="s">
        <v>728</v>
      </c>
      <c r="K243" s="554" t="s">
        <v>836</v>
      </c>
      <c r="L243" s="102"/>
    </row>
    <row r="244" spans="5:12" ht="242.25" customHeight="1">
      <c r="E244" s="21" t="str">
        <f t="shared" si="6"/>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F244" s="130" t="s">
        <v>729</v>
      </c>
      <c r="G244" s="131" t="s">
        <v>732</v>
      </c>
      <c r="H244" s="132" t="s">
        <v>730</v>
      </c>
      <c r="I244" s="133" t="s">
        <v>731</v>
      </c>
      <c r="J244" s="132" t="s">
        <v>733</v>
      </c>
      <c r="K244" s="554" t="s">
        <v>837</v>
      </c>
      <c r="L244" s="102"/>
    </row>
    <row r="245" spans="5:12" ht="18.75" customHeight="1">
      <c r="E245" s="21" t="str">
        <f t="shared" si="6"/>
        <v>Nummer:</v>
      </c>
      <c r="F245" s="110" t="s">
        <v>1692</v>
      </c>
      <c r="G245" s="111" t="s">
        <v>1695</v>
      </c>
      <c r="H245" s="109" t="s">
        <v>1694</v>
      </c>
      <c r="I245" s="112" t="s">
        <v>1693</v>
      </c>
      <c r="J245" s="109" t="s">
        <v>1691</v>
      </c>
      <c r="K245" s="554" t="s">
        <v>1696</v>
      </c>
      <c r="L245" s="84"/>
    </row>
    <row r="246" spans="5:12" ht="47.25" customHeight="1">
      <c r="E246" s="21">
        <f t="shared" si="6"/>
        <v>0</v>
      </c>
      <c r="F246" s="130"/>
      <c r="G246" s="131"/>
      <c r="H246" s="132"/>
      <c r="I246" s="133"/>
      <c r="J246" s="132"/>
      <c r="K246" s="549"/>
      <c r="L246" s="102"/>
    </row>
    <row r="247" spans="5:12" ht="15" thickBot="1">
      <c r="E247" s="21">
        <f t="shared" si="6"/>
        <v>0</v>
      </c>
      <c r="F247" s="239"/>
      <c r="G247" s="240"/>
      <c r="H247" s="241"/>
      <c r="I247" s="242"/>
      <c r="J247" s="241"/>
      <c r="K247" s="556"/>
      <c r="L247" s="243"/>
    </row>
    <row r="248" spans="5:12" ht="15.5" thickTop="1" thickBot="1">
      <c r="K248" s="40"/>
    </row>
    <row r="249" spans="5:12" ht="29" thickTop="1">
      <c r="E249" s="21"/>
      <c r="F249" s="61" t="s">
        <v>1644</v>
      </c>
      <c r="G249" s="223"/>
      <c r="H249" s="223"/>
      <c r="I249" s="223"/>
      <c r="J249" s="223"/>
      <c r="K249" s="553"/>
      <c r="L249" s="224"/>
    </row>
    <row r="250" spans="5:12">
      <c r="E250" s="21" t="str">
        <f t="shared" ref="E250:E261" si="7">IF($C$3,F250,IF($C$4,G250,IF($C$5,H250,IF($C$6,I250,IF($C$7,J250,IF($C$8,K250,IF(L250&lt;&gt;"",L250,F250)))))))</f>
        <v>Dagelijkse planning</v>
      </c>
      <c r="F250" s="110" t="s">
        <v>1644</v>
      </c>
      <c r="G250" s="111" t="s">
        <v>1645</v>
      </c>
      <c r="H250" s="109" t="s">
        <v>1646</v>
      </c>
      <c r="I250" s="112" t="s">
        <v>1647</v>
      </c>
      <c r="J250" s="109" t="s">
        <v>1648</v>
      </c>
      <c r="K250" s="554" t="s">
        <v>1649</v>
      </c>
      <c r="L250" s="84"/>
    </row>
    <row r="251" spans="5:12">
      <c r="E251" s="21" t="str">
        <f t="shared" si="7"/>
        <v>Spel nr</v>
      </c>
      <c r="F251" s="110" t="s">
        <v>393</v>
      </c>
      <c r="G251" s="111" t="s">
        <v>1650</v>
      </c>
      <c r="H251" s="109" t="s">
        <v>1651</v>
      </c>
      <c r="I251" s="112" t="s">
        <v>1652</v>
      </c>
      <c r="J251" s="109" t="s">
        <v>1653</v>
      </c>
      <c r="K251" s="554" t="s">
        <v>1654</v>
      </c>
      <c r="L251" s="84"/>
    </row>
    <row r="252" spans="5:12">
      <c r="E252" s="21" t="str">
        <f t="shared" si="7"/>
        <v>Teams</v>
      </c>
      <c r="F252" s="110" t="s">
        <v>307</v>
      </c>
      <c r="G252" s="111" t="s">
        <v>1655</v>
      </c>
      <c r="H252" s="109" t="s">
        <v>1656</v>
      </c>
      <c r="I252" s="112" t="s">
        <v>1657</v>
      </c>
      <c r="J252" s="109" t="s">
        <v>307</v>
      </c>
      <c r="K252" s="554" t="s">
        <v>307</v>
      </c>
      <c r="L252" s="84"/>
    </row>
    <row r="253" spans="5:12">
      <c r="E253" s="21" t="str">
        <f t="shared" si="7"/>
        <v>Tijd</v>
      </c>
      <c r="F253" s="110" t="s">
        <v>1658</v>
      </c>
      <c r="G253" s="111" t="s">
        <v>1659</v>
      </c>
      <c r="H253" s="109" t="s">
        <v>1660</v>
      </c>
      <c r="I253" s="112" t="s">
        <v>1661</v>
      </c>
      <c r="J253" s="109" t="s">
        <v>1662</v>
      </c>
      <c r="K253" s="554" t="s">
        <v>1663</v>
      </c>
      <c r="L253" s="84"/>
    </row>
    <row r="254" spans="5:12">
      <c r="E254" s="21" t="str">
        <f t="shared" si="7"/>
        <v>Team 1</v>
      </c>
      <c r="F254" s="110" t="s">
        <v>284</v>
      </c>
      <c r="G254" s="111" t="s">
        <v>1664</v>
      </c>
      <c r="H254" s="109" t="s">
        <v>1665</v>
      </c>
      <c r="I254" s="112" t="s">
        <v>1666</v>
      </c>
      <c r="J254" s="109" t="s">
        <v>284</v>
      </c>
      <c r="K254" s="554" t="s">
        <v>284</v>
      </c>
      <c r="L254" s="84"/>
    </row>
    <row r="255" spans="5:12">
      <c r="E255" s="21" t="str">
        <f t="shared" si="7"/>
        <v>Team 2</v>
      </c>
      <c r="F255" s="110" t="s">
        <v>285</v>
      </c>
      <c r="G255" s="111" t="s">
        <v>1667</v>
      </c>
      <c r="H255" s="109" t="s">
        <v>1668</v>
      </c>
      <c r="I255" s="112" t="s">
        <v>1669</v>
      </c>
      <c r="J255" s="109" t="s">
        <v>285</v>
      </c>
      <c r="K255" s="554" t="s">
        <v>285</v>
      </c>
      <c r="L255" s="84"/>
    </row>
    <row r="256" spans="5:12">
      <c r="E256" s="21" t="str">
        <f t="shared" si="7"/>
        <v>ronde van 32</v>
      </c>
      <c r="F256" s="110" t="s">
        <v>897</v>
      </c>
      <c r="G256" s="111" t="s">
        <v>1687</v>
      </c>
      <c r="H256" s="109" t="s">
        <v>900</v>
      </c>
      <c r="I256" s="112" t="s">
        <v>1688</v>
      </c>
      <c r="J256" s="109" t="s">
        <v>896</v>
      </c>
      <c r="K256" s="549" t="s">
        <v>1689</v>
      </c>
      <c r="L256" s="59"/>
    </row>
    <row r="257" spans="5:12">
      <c r="E257" s="21" t="str">
        <f t="shared" si="7"/>
        <v>Achtste finale</v>
      </c>
      <c r="F257" s="110" t="s">
        <v>566</v>
      </c>
      <c r="G257" s="111" t="s">
        <v>567</v>
      </c>
      <c r="H257" s="109" t="s">
        <v>568</v>
      </c>
      <c r="I257" s="112" t="s">
        <v>1670</v>
      </c>
      <c r="J257" s="109" t="s">
        <v>570</v>
      </c>
      <c r="K257" s="549" t="s">
        <v>813</v>
      </c>
      <c r="L257" s="84"/>
    </row>
    <row r="258" spans="5:12">
      <c r="E258" s="21" t="str">
        <f t="shared" si="7"/>
        <v>Kwart finale</v>
      </c>
      <c r="F258" s="146" t="s">
        <v>571</v>
      </c>
      <c r="G258" s="111" t="s">
        <v>572</v>
      </c>
      <c r="H258" s="109" t="s">
        <v>573</v>
      </c>
      <c r="I258" s="112" t="s">
        <v>574</v>
      </c>
      <c r="J258" s="109" t="s">
        <v>575</v>
      </c>
      <c r="K258" s="549" t="s">
        <v>814</v>
      </c>
      <c r="L258" s="84"/>
    </row>
    <row r="259" spans="5:12">
      <c r="E259" s="21" t="str">
        <f t="shared" si="7"/>
        <v>Halve finale</v>
      </c>
      <c r="F259" s="110" t="s">
        <v>576</v>
      </c>
      <c r="G259" s="111" t="s">
        <v>577</v>
      </c>
      <c r="H259" s="109" t="s">
        <v>578</v>
      </c>
      <c r="I259" s="112" t="s">
        <v>579</v>
      </c>
      <c r="J259" s="109" t="s">
        <v>580</v>
      </c>
      <c r="K259" s="549" t="s">
        <v>815</v>
      </c>
      <c r="L259" s="84"/>
    </row>
    <row r="260" spans="5:12">
      <c r="E260" s="21" t="str">
        <f t="shared" si="7"/>
        <v>Datum</v>
      </c>
      <c r="F260" s="110" t="s">
        <v>1671</v>
      </c>
      <c r="G260" s="111" t="s">
        <v>1672</v>
      </c>
      <c r="H260" s="109" t="s">
        <v>1673</v>
      </c>
      <c r="I260" s="112" t="s">
        <v>1671</v>
      </c>
      <c r="J260" s="109" t="s">
        <v>1674</v>
      </c>
      <c r="K260" s="554" t="s">
        <v>1674</v>
      </c>
      <c r="L260" s="84"/>
    </row>
    <row r="261" spans="5:12">
      <c r="E261" s="21" t="str">
        <f t="shared" si="7"/>
        <v>Kleur de favorieten</v>
      </c>
      <c r="F261" s="110" t="s">
        <v>1675</v>
      </c>
      <c r="G261" s="111" t="s">
        <v>1676</v>
      </c>
      <c r="H261" s="109" t="s">
        <v>1677</v>
      </c>
      <c r="I261" s="112" t="s">
        <v>1678</v>
      </c>
      <c r="J261" s="109" t="s">
        <v>1679</v>
      </c>
      <c r="K261" s="554" t="s">
        <v>1680</v>
      </c>
      <c r="L261" s="84"/>
    </row>
    <row r="262" spans="5:12" ht="29">
      <c r="E262" s="21" t="str">
        <f>IF($C$3,F262,IF($C$4,G262,IF($C$5,H262,IF($C$6,I262,IF($C$7,J262,IF($C$8,K262,IF(L262&lt;&gt;"",L262,F262)))))))</f>
        <v>Vul hier de groepscode in</v>
      </c>
      <c r="F262" s="504" t="s">
        <v>1681</v>
      </c>
      <c r="G262" s="505" t="s">
        <v>1682</v>
      </c>
      <c r="H262" s="506" t="s">
        <v>1683</v>
      </c>
      <c r="I262" s="507" t="s">
        <v>1684</v>
      </c>
      <c r="J262" s="506" t="s">
        <v>1685</v>
      </c>
      <c r="K262" s="554" t="s">
        <v>1686</v>
      </c>
      <c r="L262" s="84"/>
    </row>
    <row r="263" spans="5:12" ht="15" thickBot="1">
      <c r="E263" s="21">
        <f>IF($C$3,F263,IF($C$4,G263,IF($C$5,H263,IF($C$6,I263,IF($C$7,J263,IF($C$8,K263,IF(L263&lt;&gt;"",L263,F263)))))))</f>
        <v>0</v>
      </c>
      <c r="F263" s="113"/>
      <c r="G263" s="114"/>
      <c r="H263" s="115"/>
      <c r="I263" s="116"/>
      <c r="J263" s="115"/>
      <c r="K263" s="557"/>
      <c r="L263" s="103"/>
    </row>
    <row r="264" spans="5:12" ht="15" thickTop="1"/>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5" zeroHeight="1"/>
  <cols>
    <col min="1" max="1" width="18" customWidth="1"/>
    <col min="2" max="2" width="9.7265625" hidden="1" customWidth="1"/>
    <col min="3" max="3" width="11.453125" customWidth="1"/>
    <col min="4" max="4" width="13.1796875" customWidth="1"/>
    <col min="5" max="5" width="5.1796875" hidden="1" customWidth="1"/>
    <col min="6" max="6" width="11.453125" customWidth="1"/>
    <col min="7" max="7" width="20.453125" customWidth="1"/>
    <col min="8" max="8" width="15.54296875" customWidth="1"/>
    <col min="9" max="9" width="17" customWidth="1"/>
    <col min="10" max="10" width="14" hidden="1" customWidth="1"/>
    <col min="11" max="11" width="25.81640625" hidden="1" customWidth="1"/>
    <col min="12" max="12" width="6.1796875" hidden="1" customWidth="1"/>
    <col min="13" max="13" width="22.7265625" hidden="1" customWidth="1"/>
    <col min="14" max="14" width="16.81640625" hidden="1" customWidth="1"/>
    <col min="15" max="16384" width="11.453125" hidden="1"/>
  </cols>
  <sheetData>
    <row r="1" spans="1:17" ht="36.75" customHeight="1" thickBot="1">
      <c r="A1" s="855" t="str">
        <f>Language!$E$124</f>
        <v>Kies tijdzone</v>
      </c>
      <c r="B1" s="855"/>
      <c r="C1" s="855"/>
      <c r="D1" s="855"/>
      <c r="E1" s="855"/>
      <c r="F1" s="855"/>
      <c r="G1" s="338" t="str">
        <f>Language!$E$194</f>
        <v>Klik hier en kies de tijdzone:</v>
      </c>
      <c r="H1" s="340" t="s">
        <v>149</v>
      </c>
      <c r="I1" s="339" t="s">
        <v>559</v>
      </c>
      <c r="J1" s="139"/>
    </row>
    <row r="2" spans="1:17"/>
    <row r="3" spans="1:17" ht="15" thickBot="1">
      <c r="C3" s="148"/>
      <c r="D3" s="5"/>
    </row>
    <row r="4" spans="1:17">
      <c r="B4" s="140">
        <v>-12</v>
      </c>
      <c r="C4" s="189" t="s">
        <v>137</v>
      </c>
      <c r="D4" s="190" t="s">
        <v>114</v>
      </c>
      <c r="E4">
        <f>$B4/24</f>
        <v>-0.5</v>
      </c>
      <c r="F4" s="141"/>
      <c r="G4" s="938" t="str">
        <f>Language!$E$198</f>
        <v>De tijdzone moet dienovereenkomstig worden aangepast voor de zomertijd (b.v. UTC+2 in plaats van UTC+1).</v>
      </c>
      <c r="H4" s="938"/>
      <c r="I4" s="938"/>
      <c r="J4" s="143"/>
      <c r="L4" s="22">
        <v>1</v>
      </c>
      <c r="M4" s="40" t="str">
        <f t="array" ref="M4:M19">IF(Language!$E$103:$E$118=0,"",Language!$E$103:$E$118)</f>
        <v>Vancouver</v>
      </c>
      <c r="N4" s="508" t="s">
        <v>145</v>
      </c>
      <c r="O4">
        <f>IFERROR(VLOOKUP($N4,$C$4:$E$39,3,0),0)</f>
        <v>-0.16666666666666666</v>
      </c>
      <c r="Q4" t="s">
        <v>142</v>
      </c>
    </row>
    <row r="5" spans="1:17" ht="15" customHeight="1">
      <c r="B5" s="140">
        <v>-11</v>
      </c>
      <c r="C5" s="165" t="s">
        <v>138</v>
      </c>
      <c r="D5" s="166"/>
      <c r="E5">
        <f t="shared" ref="E5:E40" si="0">$B5/24</f>
        <v>-0.45833333333333331</v>
      </c>
      <c r="G5" s="938"/>
      <c r="H5" s="938"/>
      <c r="I5" s="938"/>
      <c r="J5" s="56"/>
      <c r="K5" s="511"/>
      <c r="L5" s="22">
        <v>2</v>
      </c>
      <c r="M5" s="40" t="str">
        <v>Toronto</v>
      </c>
      <c r="N5" s="509" t="s">
        <v>145</v>
      </c>
      <c r="O5">
        <f t="shared" ref="O5:O19" si="1">IFERROR(VLOOKUP($N5,$C$4:$E$39,3,0),0)</f>
        <v>-0.16666666666666666</v>
      </c>
      <c r="Q5" t="s">
        <v>145</v>
      </c>
    </row>
    <row r="6" spans="1:17">
      <c r="B6" s="140">
        <v>-10</v>
      </c>
      <c r="C6" s="165" t="s">
        <v>139</v>
      </c>
      <c r="D6" s="166" t="s">
        <v>115</v>
      </c>
      <c r="E6">
        <f t="shared" si="0"/>
        <v>-0.41666666666666669</v>
      </c>
      <c r="G6" s="938"/>
      <c r="H6" s="938"/>
      <c r="I6" s="938"/>
      <c r="J6" s="56"/>
      <c r="K6" s="511"/>
      <c r="L6" s="22">
        <v>3</v>
      </c>
      <c r="M6" s="40" t="str">
        <v>New York/New Jersey</v>
      </c>
      <c r="N6" s="509" t="s">
        <v>145</v>
      </c>
      <c r="O6">
        <f t="shared" si="1"/>
        <v>-0.16666666666666666</v>
      </c>
      <c r="Q6" t="s">
        <v>145</v>
      </c>
    </row>
    <row r="7" spans="1:17">
      <c r="B7" s="140">
        <v>-9</v>
      </c>
      <c r="C7" s="165" t="s">
        <v>140</v>
      </c>
      <c r="D7" s="166" t="s">
        <v>116</v>
      </c>
      <c r="E7">
        <f t="shared" si="0"/>
        <v>-0.375</v>
      </c>
      <c r="G7" s="147"/>
      <c r="I7" s="140"/>
      <c r="J7" s="56"/>
      <c r="K7" s="56"/>
      <c r="L7" s="22">
        <v>4</v>
      </c>
      <c r="M7" s="40" t="str">
        <v>Kansas City</v>
      </c>
      <c r="N7" s="509" t="s">
        <v>145</v>
      </c>
      <c r="O7">
        <f t="shared" si="1"/>
        <v>-0.16666666666666666</v>
      </c>
      <c r="Q7" t="s">
        <v>144</v>
      </c>
    </row>
    <row r="8" spans="1:17">
      <c r="B8" s="140">
        <v>-8</v>
      </c>
      <c r="C8" s="165" t="s">
        <v>141</v>
      </c>
      <c r="D8" s="166" t="s">
        <v>117</v>
      </c>
      <c r="E8">
        <f t="shared" si="0"/>
        <v>-0.33333333333333331</v>
      </c>
      <c r="I8" s="140"/>
      <c r="J8" s="56"/>
      <c r="K8" s="56"/>
      <c r="L8" s="22">
        <v>5</v>
      </c>
      <c r="M8" s="40" t="str">
        <v>Dallas</v>
      </c>
      <c r="N8" s="509" t="s">
        <v>145</v>
      </c>
      <c r="O8">
        <f t="shared" si="1"/>
        <v>-0.16666666666666666</v>
      </c>
      <c r="Q8" t="s">
        <v>144</v>
      </c>
    </row>
    <row r="9" spans="1:17" ht="15" customHeight="1">
      <c r="B9" s="140">
        <v>-7</v>
      </c>
      <c r="C9" s="165" t="s">
        <v>142</v>
      </c>
      <c r="D9" s="166" t="s">
        <v>118</v>
      </c>
      <c r="E9">
        <f t="shared" si="0"/>
        <v>-0.29166666666666669</v>
      </c>
      <c r="I9" s="140"/>
      <c r="J9" s="579"/>
      <c r="K9" s="56"/>
      <c r="L9" s="22">
        <v>6</v>
      </c>
      <c r="M9" s="40" t="str">
        <v>Houston</v>
      </c>
      <c r="N9" s="509" t="s">
        <v>145</v>
      </c>
      <c r="O9">
        <f t="shared" si="1"/>
        <v>-0.16666666666666666</v>
      </c>
      <c r="Q9" t="s">
        <v>144</v>
      </c>
    </row>
    <row r="10" spans="1:17" ht="15" customHeight="1">
      <c r="B10" s="140">
        <v>-6</v>
      </c>
      <c r="C10" s="165" t="s">
        <v>143</v>
      </c>
      <c r="D10" s="166" t="s">
        <v>119</v>
      </c>
      <c r="E10">
        <f t="shared" si="0"/>
        <v>-0.25</v>
      </c>
      <c r="J10" s="579"/>
      <c r="K10" s="56"/>
      <c r="L10" s="22">
        <v>7</v>
      </c>
      <c r="M10" s="40" t="str">
        <v>Atlanta</v>
      </c>
      <c r="N10" s="509" t="s">
        <v>145</v>
      </c>
      <c r="O10">
        <f t="shared" si="1"/>
        <v>-0.16666666666666666</v>
      </c>
      <c r="Q10" t="s">
        <v>145</v>
      </c>
    </row>
    <row r="11" spans="1:17">
      <c r="B11" s="140">
        <v>-5</v>
      </c>
      <c r="C11" s="165" t="s">
        <v>144</v>
      </c>
      <c r="D11" s="166" t="s">
        <v>120</v>
      </c>
      <c r="E11">
        <f t="shared" si="0"/>
        <v>-0.20833333333333334</v>
      </c>
      <c r="J11" s="140"/>
      <c r="K11" s="56"/>
      <c r="L11" s="22">
        <v>8</v>
      </c>
      <c r="M11" s="40" t="str">
        <v>Los Angeles</v>
      </c>
      <c r="N11" s="509" t="s">
        <v>145</v>
      </c>
      <c r="O11">
        <f t="shared" si="1"/>
        <v>-0.16666666666666666</v>
      </c>
      <c r="Q11" t="s">
        <v>142</v>
      </c>
    </row>
    <row r="12" spans="1:17">
      <c r="B12" s="140">
        <v>-4</v>
      </c>
      <c r="C12" s="165" t="s">
        <v>145</v>
      </c>
      <c r="D12" s="166" t="s">
        <v>121</v>
      </c>
      <c r="E12">
        <f t="shared" si="0"/>
        <v>-0.16666666666666666</v>
      </c>
      <c r="J12" s="56"/>
      <c r="K12" s="56"/>
      <c r="L12" s="22">
        <v>9</v>
      </c>
      <c r="M12" s="40" t="str">
        <v>Philadelphia</v>
      </c>
      <c r="N12" s="509" t="s">
        <v>145</v>
      </c>
      <c r="O12">
        <f t="shared" si="1"/>
        <v>-0.16666666666666666</v>
      </c>
      <c r="Q12" t="s">
        <v>145</v>
      </c>
    </row>
    <row r="13" spans="1:17">
      <c r="B13" s="140">
        <v>-3.5</v>
      </c>
      <c r="C13" s="165" t="s">
        <v>136</v>
      </c>
      <c r="D13" s="166" t="s">
        <v>122</v>
      </c>
      <c r="E13">
        <f t="shared" si="0"/>
        <v>-0.14583333333333334</v>
      </c>
      <c r="I13" s="140"/>
      <c r="J13" s="56"/>
      <c r="K13" s="56"/>
      <c r="L13" s="22">
        <v>10</v>
      </c>
      <c r="M13" s="40" t="str">
        <v>Seattle</v>
      </c>
      <c r="N13" s="509" t="s">
        <v>145</v>
      </c>
      <c r="O13">
        <f t="shared" si="1"/>
        <v>-0.16666666666666666</v>
      </c>
      <c r="Q13" t="s">
        <v>142</v>
      </c>
    </row>
    <row r="14" spans="1:17">
      <c r="B14" s="140">
        <v>-3</v>
      </c>
      <c r="C14" s="165" t="s">
        <v>146</v>
      </c>
      <c r="D14" s="166"/>
      <c r="E14">
        <f t="shared" si="0"/>
        <v>-0.125</v>
      </c>
      <c r="I14" s="140"/>
      <c r="J14" s="56"/>
      <c r="K14" s="56"/>
      <c r="L14" s="22">
        <v>11</v>
      </c>
      <c r="M14" s="40" t="str">
        <v>San Francisco Bay Area</v>
      </c>
      <c r="N14" s="509" t="s">
        <v>145</v>
      </c>
      <c r="O14">
        <f t="shared" si="1"/>
        <v>-0.16666666666666666</v>
      </c>
      <c r="Q14" t="s">
        <v>142</v>
      </c>
    </row>
    <row r="15" spans="1:17">
      <c r="B15" s="140">
        <v>-2.5</v>
      </c>
      <c r="C15" s="165" t="s">
        <v>1896</v>
      </c>
      <c r="D15" s="166" t="s">
        <v>1897</v>
      </c>
      <c r="E15">
        <f t="shared" si="0"/>
        <v>-0.10416666666666667</v>
      </c>
      <c r="I15" s="140"/>
      <c r="J15" s="56"/>
      <c r="K15" s="56"/>
      <c r="L15" s="22">
        <v>12</v>
      </c>
      <c r="M15" s="40" t="str">
        <v>Boston</v>
      </c>
      <c r="N15" s="509" t="s">
        <v>145</v>
      </c>
      <c r="O15">
        <f t="shared" si="1"/>
        <v>-0.16666666666666666</v>
      </c>
      <c r="Q15" t="s">
        <v>145</v>
      </c>
    </row>
    <row r="16" spans="1:17">
      <c r="B16" s="140">
        <v>-2</v>
      </c>
      <c r="C16" s="165" t="s">
        <v>147</v>
      </c>
      <c r="D16" s="166"/>
      <c r="E16">
        <f t="shared" si="0"/>
        <v>-8.3333333333333329E-2</v>
      </c>
      <c r="I16" s="140"/>
      <c r="J16" s="56"/>
      <c r="K16" s="56"/>
      <c r="L16" s="22">
        <v>13</v>
      </c>
      <c r="M16" s="40" t="str">
        <v>Miami</v>
      </c>
      <c r="N16" s="509" t="s">
        <v>145</v>
      </c>
      <c r="O16">
        <f t="shared" si="1"/>
        <v>-0.16666666666666666</v>
      </c>
      <c r="Q16" t="s">
        <v>145</v>
      </c>
    </row>
    <row r="17" spans="2:17">
      <c r="B17" s="140">
        <v>-1</v>
      </c>
      <c r="C17" s="165" t="s">
        <v>148</v>
      </c>
      <c r="D17" s="166"/>
      <c r="E17">
        <f t="shared" si="0"/>
        <v>-4.1666666666666664E-2</v>
      </c>
      <c r="I17" s="140"/>
      <c r="J17" s="56"/>
      <c r="K17" s="56"/>
      <c r="L17" s="22">
        <v>14</v>
      </c>
      <c r="M17" s="40" t="str">
        <v>Mexico City</v>
      </c>
      <c r="N17" s="509" t="s">
        <v>145</v>
      </c>
      <c r="O17">
        <f t="shared" si="1"/>
        <v>-0.16666666666666666</v>
      </c>
      <c r="Q17" t="s">
        <v>143</v>
      </c>
    </row>
    <row r="18" spans="2:17">
      <c r="B18" s="140">
        <v>0</v>
      </c>
      <c r="C18" s="165" t="s">
        <v>132</v>
      </c>
      <c r="D18" s="166" t="s">
        <v>123</v>
      </c>
      <c r="E18">
        <f t="shared" si="0"/>
        <v>0</v>
      </c>
      <c r="I18" s="142"/>
      <c r="J18" s="140"/>
      <c r="K18" s="56"/>
      <c r="L18" s="22">
        <v>15</v>
      </c>
      <c r="M18" s="40" t="str">
        <v>Guadalajara</v>
      </c>
      <c r="N18" s="509" t="s">
        <v>145</v>
      </c>
      <c r="O18">
        <f t="shared" si="1"/>
        <v>-0.16666666666666666</v>
      </c>
      <c r="Q18" t="s">
        <v>143</v>
      </c>
    </row>
    <row r="19" spans="2:17" ht="15" thickBot="1">
      <c r="B19" s="140">
        <v>1</v>
      </c>
      <c r="C19" s="165" t="s">
        <v>135</v>
      </c>
      <c r="D19" s="166" t="s">
        <v>555</v>
      </c>
      <c r="E19">
        <f t="shared" si="0"/>
        <v>4.1666666666666664E-2</v>
      </c>
      <c r="I19" s="140"/>
      <c r="J19" s="56"/>
      <c r="K19" s="56"/>
      <c r="L19" s="22">
        <v>16</v>
      </c>
      <c r="M19" s="40" t="str">
        <v>Monterrey</v>
      </c>
      <c r="N19" s="510" t="s">
        <v>145</v>
      </c>
      <c r="O19">
        <f t="shared" si="1"/>
        <v>-0.16666666666666666</v>
      </c>
      <c r="Q19" t="s">
        <v>143</v>
      </c>
    </row>
    <row r="20" spans="2:17">
      <c r="B20" s="140">
        <v>2</v>
      </c>
      <c r="C20" s="165" t="s">
        <v>149</v>
      </c>
      <c r="D20" s="166" t="s">
        <v>553</v>
      </c>
      <c r="E20">
        <f t="shared" si="0"/>
        <v>8.3333333333333329E-2</v>
      </c>
      <c r="I20" s="140"/>
      <c r="J20" s="56"/>
      <c r="K20" s="56"/>
      <c r="L20" s="40"/>
      <c r="M20" s="40"/>
      <c r="N20" s="40"/>
    </row>
    <row r="21" spans="2:17">
      <c r="B21" s="140">
        <v>3</v>
      </c>
      <c r="C21" s="165" t="s">
        <v>150</v>
      </c>
      <c r="D21" s="166" t="s">
        <v>124</v>
      </c>
      <c r="E21">
        <f t="shared" si="0"/>
        <v>0.125</v>
      </c>
      <c r="I21" s="140"/>
      <c r="J21" s="56"/>
      <c r="K21" s="56"/>
      <c r="L21" s="40"/>
      <c r="M21" s="40"/>
      <c r="N21" s="40"/>
    </row>
    <row r="22" spans="2:17">
      <c r="B22" s="140">
        <v>3.5</v>
      </c>
      <c r="C22" s="165" t="s">
        <v>1019</v>
      </c>
      <c r="D22" s="166" t="s">
        <v>131</v>
      </c>
      <c r="E22">
        <f t="shared" si="0"/>
        <v>0.14583333333333334</v>
      </c>
      <c r="I22" s="140"/>
      <c r="J22" s="56"/>
      <c r="K22" s="56"/>
      <c r="L22" s="40"/>
      <c r="M22" s="40"/>
      <c r="N22" s="40"/>
    </row>
    <row r="23" spans="2:17">
      <c r="B23" s="140">
        <v>4</v>
      </c>
      <c r="C23" s="165" t="s">
        <v>1020</v>
      </c>
      <c r="D23" s="166"/>
      <c r="E23">
        <f t="shared" si="0"/>
        <v>0.16666666666666666</v>
      </c>
      <c r="I23" s="140"/>
      <c r="J23" s="56"/>
      <c r="K23" s="56"/>
      <c r="L23" s="40"/>
      <c r="M23" s="40"/>
      <c r="N23" s="40"/>
    </row>
    <row r="24" spans="2:17">
      <c r="B24" s="140">
        <v>4.5</v>
      </c>
      <c r="C24" s="165" t="s">
        <v>1021</v>
      </c>
      <c r="D24" s="166"/>
      <c r="E24">
        <f t="shared" si="0"/>
        <v>0.1875</v>
      </c>
      <c r="I24" s="140"/>
      <c r="J24" s="56"/>
      <c r="K24" s="56"/>
      <c r="L24" s="40"/>
      <c r="M24" s="40"/>
      <c r="N24" s="40"/>
    </row>
    <row r="25" spans="2:17">
      <c r="B25" s="140">
        <v>5</v>
      </c>
      <c r="C25" s="165" t="s">
        <v>1022</v>
      </c>
      <c r="D25" s="166"/>
      <c r="E25">
        <f t="shared" si="0"/>
        <v>0.20833333333333334</v>
      </c>
      <c r="I25" s="142"/>
      <c r="J25" s="140"/>
      <c r="K25" s="56"/>
      <c r="L25" s="40"/>
      <c r="M25" s="40"/>
      <c r="N25" s="40"/>
    </row>
    <row r="26" spans="2:17">
      <c r="B26" s="140">
        <v>5.5</v>
      </c>
      <c r="C26" s="165" t="s">
        <v>1023</v>
      </c>
      <c r="D26" s="166" t="s">
        <v>130</v>
      </c>
      <c r="E26">
        <f t="shared" si="0"/>
        <v>0.22916666666666666</v>
      </c>
      <c r="I26" s="140"/>
      <c r="J26" s="56"/>
      <c r="K26" s="56"/>
      <c r="L26" s="40"/>
      <c r="M26" s="40"/>
      <c r="N26" s="40"/>
    </row>
    <row r="27" spans="2:17">
      <c r="B27" s="140">
        <v>5.75</v>
      </c>
      <c r="C27" s="165" t="s">
        <v>1024</v>
      </c>
      <c r="D27" s="166"/>
      <c r="E27">
        <f t="shared" si="0"/>
        <v>0.23958333333333334</v>
      </c>
      <c r="I27" s="140"/>
      <c r="J27" s="56"/>
      <c r="K27" s="56"/>
      <c r="L27" s="40"/>
      <c r="M27" s="40"/>
      <c r="N27" s="40"/>
    </row>
    <row r="28" spans="2:17">
      <c r="B28" s="140">
        <v>6</v>
      </c>
      <c r="C28" s="165" t="s">
        <v>1025</v>
      </c>
      <c r="D28" s="166"/>
      <c r="E28">
        <f t="shared" si="0"/>
        <v>0.25</v>
      </c>
      <c r="I28" s="140"/>
      <c r="J28" s="56"/>
      <c r="K28" s="56"/>
      <c r="L28" s="40"/>
      <c r="M28" s="40"/>
      <c r="N28" s="40"/>
    </row>
    <row r="29" spans="2:17">
      <c r="B29" s="140">
        <v>6.5</v>
      </c>
      <c r="C29" s="165" t="s">
        <v>1026</v>
      </c>
      <c r="D29" s="166"/>
      <c r="E29">
        <f t="shared" si="0"/>
        <v>0.27083333333333331</v>
      </c>
      <c r="I29" s="140"/>
      <c r="J29" s="56"/>
      <c r="K29" s="56"/>
      <c r="L29" s="40"/>
      <c r="M29" s="40"/>
      <c r="N29" s="40"/>
    </row>
    <row r="30" spans="2:17">
      <c r="B30" s="140">
        <v>7</v>
      </c>
      <c r="C30" s="165" t="s">
        <v>1027</v>
      </c>
      <c r="D30" s="166" t="s">
        <v>125</v>
      </c>
      <c r="E30">
        <f t="shared" si="0"/>
        <v>0.29166666666666669</v>
      </c>
      <c r="I30" s="140"/>
      <c r="J30" s="56"/>
      <c r="K30" s="56"/>
      <c r="L30" s="40"/>
      <c r="M30" s="40"/>
      <c r="N30" s="40"/>
    </row>
    <row r="31" spans="2:17">
      <c r="B31" s="140">
        <v>8</v>
      </c>
      <c r="C31" s="165" t="s">
        <v>1028</v>
      </c>
      <c r="D31" s="166" t="s">
        <v>126</v>
      </c>
      <c r="E31">
        <f t="shared" si="0"/>
        <v>0.33333333333333331</v>
      </c>
      <c r="I31" s="140"/>
      <c r="J31" s="56"/>
      <c r="K31" s="56"/>
      <c r="L31" s="40"/>
      <c r="M31" s="40"/>
      <c r="N31" s="40"/>
    </row>
    <row r="32" spans="2:17">
      <c r="B32" s="140">
        <v>9</v>
      </c>
      <c r="C32" s="165" t="s">
        <v>1029</v>
      </c>
      <c r="D32" s="166" t="s">
        <v>127</v>
      </c>
      <c r="E32">
        <f t="shared" si="0"/>
        <v>0.375</v>
      </c>
      <c r="I32" s="142"/>
      <c r="J32" s="140"/>
      <c r="K32" s="56"/>
      <c r="L32" s="40"/>
      <c r="M32" s="40"/>
      <c r="N32" s="40"/>
    </row>
    <row r="33" spans="2:14">
      <c r="B33" s="140">
        <v>9.5</v>
      </c>
      <c r="C33" s="165" t="s">
        <v>1030</v>
      </c>
      <c r="D33" s="166" t="s">
        <v>129</v>
      </c>
      <c r="E33">
        <f t="shared" si="0"/>
        <v>0.39583333333333331</v>
      </c>
      <c r="I33" s="140"/>
      <c r="J33" s="56"/>
      <c r="K33" s="56"/>
      <c r="L33" s="40"/>
      <c r="M33" s="40"/>
      <c r="N33" s="40"/>
    </row>
    <row r="34" spans="2:14">
      <c r="B34" s="140">
        <v>10</v>
      </c>
      <c r="C34" s="165" t="s">
        <v>1031</v>
      </c>
      <c r="D34" s="166"/>
      <c r="E34">
        <f t="shared" si="0"/>
        <v>0.41666666666666669</v>
      </c>
      <c r="I34" s="140"/>
      <c r="J34" s="56"/>
      <c r="K34" s="56"/>
      <c r="L34" s="40"/>
      <c r="M34" s="40"/>
      <c r="N34" s="40"/>
    </row>
    <row r="35" spans="2:14">
      <c r="B35" s="140">
        <v>10.5</v>
      </c>
      <c r="C35" s="165" t="s">
        <v>1032</v>
      </c>
      <c r="D35" s="166"/>
      <c r="E35">
        <f t="shared" si="0"/>
        <v>0.4375</v>
      </c>
      <c r="I35" s="140"/>
      <c r="J35" s="56"/>
      <c r="K35" s="56"/>
      <c r="L35" s="40"/>
      <c r="M35" s="40"/>
      <c r="N35" s="40"/>
    </row>
    <row r="36" spans="2:14">
      <c r="B36" s="140">
        <v>11</v>
      </c>
      <c r="C36" s="165" t="s">
        <v>1033</v>
      </c>
      <c r="D36" s="166"/>
      <c r="E36">
        <f t="shared" si="0"/>
        <v>0.45833333333333331</v>
      </c>
      <c r="I36" s="140"/>
      <c r="J36" s="56"/>
      <c r="K36" s="56"/>
      <c r="L36" s="40"/>
      <c r="M36" s="40"/>
      <c r="N36" s="40"/>
    </row>
    <row r="37" spans="2:14">
      <c r="B37" s="140">
        <v>12</v>
      </c>
      <c r="C37" s="165" t="s">
        <v>1034</v>
      </c>
      <c r="D37" s="166" t="s">
        <v>128</v>
      </c>
      <c r="E37">
        <f t="shared" si="0"/>
        <v>0.5</v>
      </c>
      <c r="I37" s="140"/>
      <c r="J37" s="56"/>
      <c r="K37" s="56"/>
      <c r="L37" s="40"/>
      <c r="M37" s="40"/>
      <c r="N37" s="40"/>
    </row>
    <row r="38" spans="2:14">
      <c r="B38" s="140">
        <v>12.75</v>
      </c>
      <c r="C38" s="165" t="s">
        <v>1035</v>
      </c>
      <c r="D38" s="166"/>
      <c r="E38">
        <f t="shared" si="0"/>
        <v>0.53125</v>
      </c>
      <c r="I38" s="140"/>
      <c r="J38" s="56"/>
      <c r="K38" s="56"/>
      <c r="L38" s="40"/>
      <c r="M38" s="40"/>
      <c r="N38" s="40"/>
    </row>
    <row r="39" spans="2:14">
      <c r="B39" s="140">
        <v>13</v>
      </c>
      <c r="C39" s="165" t="s">
        <v>1036</v>
      </c>
      <c r="D39" s="166"/>
      <c r="E39">
        <f t="shared" si="0"/>
        <v>0.54166666666666663</v>
      </c>
      <c r="I39" s="142"/>
      <c r="J39" s="56"/>
      <c r="K39" s="56"/>
      <c r="L39" s="40"/>
      <c r="M39" s="40"/>
      <c r="N39" s="40"/>
    </row>
    <row r="40" spans="2:14">
      <c r="B40" s="140">
        <v>14</v>
      </c>
      <c r="C40" s="355" t="s">
        <v>1037</v>
      </c>
      <c r="D40" s="191"/>
      <c r="E40">
        <f t="shared" si="0"/>
        <v>0.58333333333333337</v>
      </c>
      <c r="I40" s="140"/>
      <c r="J40" s="56"/>
      <c r="K40" s="56"/>
      <c r="L40" s="40"/>
      <c r="M40" s="40"/>
      <c r="N40" s="40"/>
    </row>
    <row r="41" spans="2:14"/>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4.5" zeroHeight="1"/>
  <cols>
    <col min="1" max="1" width="5.1796875" customWidth="1"/>
    <col min="2" max="2" width="8" customWidth="1"/>
    <col min="3" max="7" width="11.453125" customWidth="1"/>
    <col min="8" max="8" width="16.1796875" customWidth="1"/>
    <col min="9" max="9" width="15.1796875" customWidth="1"/>
    <col min="10" max="10" width="6" customWidth="1"/>
    <col min="11" max="19" width="11.453125" customWidth="1"/>
    <col min="20" max="20" width="6.54296875" customWidth="1"/>
    <col min="21" max="21" width="5.1796875" customWidth="1"/>
    <col min="22" max="16384" width="11.453125" hidden="1"/>
  </cols>
  <sheetData>
    <row r="1" spans="2:20" ht="15" thickBot="1"/>
    <row r="2" spans="2:20" ht="26">
      <c r="B2" s="92"/>
      <c r="C2" s="939" t="s">
        <v>56</v>
      </c>
      <c r="D2" s="939"/>
      <c r="E2" s="939"/>
      <c r="F2" s="939"/>
      <c r="G2" s="939"/>
      <c r="H2" s="939"/>
      <c r="I2" s="93"/>
      <c r="K2" s="92"/>
      <c r="L2" s="939" t="s">
        <v>316</v>
      </c>
      <c r="M2" s="939"/>
      <c r="N2" s="939"/>
      <c r="O2" s="939"/>
      <c r="P2" s="939"/>
      <c r="Q2" s="939"/>
      <c r="R2" s="101"/>
      <c r="S2" s="101"/>
      <c r="T2" s="93"/>
    </row>
    <row r="3" spans="2:20">
      <c r="B3" s="94"/>
      <c r="C3" s="95"/>
      <c r="D3" s="95"/>
      <c r="E3" s="95"/>
      <c r="F3" s="95"/>
      <c r="G3" s="95"/>
      <c r="H3" s="95"/>
      <c r="I3" s="96"/>
      <c r="K3" s="94"/>
      <c r="L3" s="95"/>
      <c r="M3" s="95"/>
      <c r="N3" s="95"/>
      <c r="O3" s="95"/>
      <c r="P3" s="95"/>
      <c r="Q3" s="95"/>
      <c r="R3" s="95"/>
      <c r="S3" s="95"/>
      <c r="T3" s="96"/>
    </row>
    <row r="4" spans="2:20">
      <c r="B4" s="94"/>
      <c r="C4" s="95"/>
      <c r="D4" s="95"/>
      <c r="E4" s="95"/>
      <c r="F4" s="95"/>
      <c r="G4" s="95"/>
      <c r="H4" s="95"/>
      <c r="I4" s="96"/>
      <c r="K4" s="94"/>
      <c r="L4" s="95"/>
      <c r="M4" s="95"/>
      <c r="N4" s="91"/>
      <c r="O4" s="91"/>
      <c r="P4" s="91"/>
      <c r="Q4" s="91"/>
      <c r="R4" s="91"/>
      <c r="S4" s="91"/>
      <c r="T4" s="96"/>
    </row>
    <row r="5" spans="2:20" ht="18.5">
      <c r="B5" s="94"/>
      <c r="C5" s="341" t="s">
        <v>304</v>
      </c>
      <c r="D5" s="95"/>
      <c r="E5" s="95"/>
      <c r="F5" s="95"/>
      <c r="G5" s="95"/>
      <c r="H5" s="95"/>
      <c r="I5" s="96"/>
      <c r="K5" s="94"/>
      <c r="L5" s="341" t="s">
        <v>317</v>
      </c>
      <c r="M5" s="95"/>
      <c r="N5" s="91"/>
      <c r="O5" s="91"/>
      <c r="P5" s="91"/>
      <c r="Q5" s="91"/>
      <c r="R5" s="91"/>
      <c r="S5" s="91"/>
      <c r="T5" s="96"/>
    </row>
    <row r="6" spans="2:20">
      <c r="B6" s="94"/>
      <c r="C6" s="95"/>
      <c r="D6" s="95"/>
      <c r="E6" s="95"/>
      <c r="F6" s="95"/>
      <c r="G6" s="95"/>
      <c r="H6" s="95"/>
      <c r="I6" s="96"/>
      <c r="K6" s="94"/>
      <c r="L6" s="95"/>
      <c r="M6" s="95"/>
      <c r="N6" s="91"/>
      <c r="O6" s="91"/>
      <c r="P6" s="91"/>
      <c r="Q6" s="91"/>
      <c r="R6" s="91"/>
      <c r="S6" s="91"/>
      <c r="T6" s="96"/>
    </row>
    <row r="7" spans="2:20">
      <c r="B7" s="94"/>
      <c r="C7" s="97" t="s">
        <v>26</v>
      </c>
      <c r="D7" s="95"/>
      <c r="E7" s="95"/>
      <c r="F7" s="95"/>
      <c r="G7" s="95"/>
      <c r="H7" s="95"/>
      <c r="I7" s="96"/>
      <c r="K7" s="94"/>
      <c r="L7" s="97" t="s">
        <v>26</v>
      </c>
      <c r="M7" s="95"/>
      <c r="N7" s="91"/>
      <c r="O7" s="91"/>
      <c r="P7" s="91"/>
      <c r="Q7" s="91"/>
      <c r="R7" s="91"/>
      <c r="S7" s="91"/>
      <c r="T7" s="96"/>
    </row>
    <row r="8" spans="2:20">
      <c r="B8" s="94"/>
      <c r="C8" s="95" t="s">
        <v>305</v>
      </c>
      <c r="D8" s="95"/>
      <c r="E8" s="95"/>
      <c r="F8" s="95"/>
      <c r="G8" s="95"/>
      <c r="H8" s="95"/>
      <c r="I8" s="96"/>
      <c r="K8" s="94"/>
      <c r="L8" s="95" t="s">
        <v>318</v>
      </c>
      <c r="M8" s="95"/>
      <c r="N8" s="91"/>
      <c r="O8" s="91"/>
      <c r="P8" s="91"/>
      <c r="Q8" s="91"/>
      <c r="R8" s="91"/>
      <c r="S8" s="91"/>
      <c r="T8" s="96"/>
    </row>
    <row r="9" spans="2:20">
      <c r="B9" s="94"/>
      <c r="C9" s="95"/>
      <c r="D9" s="95"/>
      <c r="E9" s="95"/>
      <c r="F9" s="95"/>
      <c r="G9" s="95"/>
      <c r="H9" s="95"/>
      <c r="I9" s="96"/>
      <c r="K9" s="94"/>
      <c r="L9" s="95"/>
      <c r="M9" s="95"/>
      <c r="N9" s="91"/>
      <c r="O9" s="91"/>
      <c r="P9" s="91"/>
      <c r="Q9" s="91"/>
      <c r="R9" s="91"/>
      <c r="S9" s="91"/>
      <c r="T9" s="96"/>
    </row>
    <row r="10" spans="2:20">
      <c r="B10" s="94"/>
      <c r="C10" s="97" t="s">
        <v>27</v>
      </c>
      <c r="D10" s="95"/>
      <c r="E10" s="95"/>
      <c r="F10" s="95"/>
      <c r="G10" s="95"/>
      <c r="H10" s="95"/>
      <c r="I10" s="96"/>
      <c r="K10" s="94"/>
      <c r="L10" s="97" t="s">
        <v>27</v>
      </c>
      <c r="M10" s="95"/>
      <c r="N10" s="91"/>
      <c r="O10" s="91"/>
      <c r="P10" s="91"/>
      <c r="Q10" s="91"/>
      <c r="R10" s="91"/>
      <c r="S10" s="91"/>
      <c r="T10" s="96"/>
    </row>
    <row r="11" spans="2:20">
      <c r="B11" s="94"/>
      <c r="C11" s="95" t="s">
        <v>315</v>
      </c>
      <c r="D11" s="95"/>
      <c r="E11" s="95"/>
      <c r="F11" s="95"/>
      <c r="G11" s="95"/>
      <c r="H11" s="95"/>
      <c r="I11" s="96"/>
      <c r="K11" s="94"/>
      <c r="L11" s="95" t="s">
        <v>319</v>
      </c>
      <c r="M11" s="95"/>
      <c r="N11" s="91"/>
      <c r="O11" s="91"/>
      <c r="P11" s="91"/>
      <c r="Q11" s="91"/>
      <c r="R11" s="91"/>
      <c r="S11" s="91"/>
      <c r="T11" s="96"/>
    </row>
    <row r="12" spans="2:20">
      <c r="B12" s="94"/>
      <c r="C12" s="95"/>
      <c r="D12" s="95"/>
      <c r="E12" s="95"/>
      <c r="F12" s="95"/>
      <c r="G12" s="95"/>
      <c r="H12" s="95"/>
      <c r="I12" s="96"/>
      <c r="K12" s="94"/>
      <c r="L12" s="95"/>
      <c r="M12" s="95"/>
      <c r="N12" s="91"/>
      <c r="O12" s="91"/>
      <c r="P12" s="91"/>
      <c r="Q12" s="91"/>
      <c r="R12" s="91"/>
      <c r="S12" s="91"/>
      <c r="T12" s="96"/>
    </row>
    <row r="13" spans="2:20">
      <c r="B13" s="94"/>
      <c r="C13" s="97" t="s">
        <v>28</v>
      </c>
      <c r="D13" s="95"/>
      <c r="E13" s="95"/>
      <c r="F13" s="95"/>
      <c r="G13" s="95"/>
      <c r="H13" s="95"/>
      <c r="I13" s="96"/>
      <c r="K13" s="94"/>
      <c r="L13" s="97" t="s">
        <v>28</v>
      </c>
      <c r="M13" s="95"/>
      <c r="N13" s="91"/>
      <c r="O13" s="91"/>
      <c r="P13" s="91"/>
      <c r="Q13" s="91"/>
      <c r="R13" s="91"/>
      <c r="S13" s="91"/>
      <c r="T13" s="96"/>
    </row>
    <row r="14" spans="2:20">
      <c r="B14" s="94"/>
      <c r="C14" s="95" t="s">
        <v>1830</v>
      </c>
      <c r="D14" s="95"/>
      <c r="E14" s="95"/>
      <c r="F14" s="95"/>
      <c r="G14" s="95"/>
      <c r="H14" s="95"/>
      <c r="I14" s="96"/>
      <c r="K14" s="94"/>
      <c r="L14" s="95" t="s">
        <v>1829</v>
      </c>
      <c r="M14" s="95"/>
      <c r="N14" s="91"/>
      <c r="O14" s="91"/>
      <c r="P14" s="91"/>
      <c r="Q14" s="91"/>
      <c r="R14" s="91"/>
      <c r="S14" s="91"/>
      <c r="T14" s="96"/>
    </row>
    <row r="15" spans="2:20">
      <c r="B15" s="94"/>
      <c r="C15" s="95" t="s">
        <v>1848</v>
      </c>
      <c r="D15" s="95"/>
      <c r="E15" s="95"/>
      <c r="F15" s="95"/>
      <c r="G15" s="95"/>
      <c r="H15" s="95"/>
      <c r="I15" s="96"/>
      <c r="K15" s="94"/>
      <c r="L15" s="95" t="s">
        <v>1850</v>
      </c>
      <c r="M15" s="95"/>
      <c r="N15" s="91"/>
      <c r="O15" s="91"/>
      <c r="P15" s="91"/>
      <c r="Q15" s="91"/>
      <c r="R15" s="91"/>
      <c r="S15" s="91"/>
      <c r="T15" s="96"/>
    </row>
    <row r="16" spans="2:20">
      <c r="B16" s="94"/>
      <c r="C16" s="95" t="s">
        <v>1849</v>
      </c>
      <c r="D16" s="95"/>
      <c r="E16" s="95"/>
      <c r="F16" s="95"/>
      <c r="G16" s="95"/>
      <c r="H16" s="95"/>
      <c r="I16" s="96"/>
      <c r="K16" s="94"/>
      <c r="L16" s="95" t="s">
        <v>1851</v>
      </c>
      <c r="M16" s="95"/>
      <c r="N16" s="91"/>
      <c r="O16" s="91"/>
      <c r="P16" s="91"/>
      <c r="Q16" s="91"/>
      <c r="R16" s="91"/>
      <c r="S16" s="91"/>
      <c r="T16" s="96"/>
    </row>
    <row r="17" spans="2:20">
      <c r="B17" s="94"/>
      <c r="C17" s="95"/>
      <c r="D17" s="95"/>
      <c r="E17" s="95"/>
      <c r="F17" s="95"/>
      <c r="G17" s="95"/>
      <c r="H17" s="95"/>
      <c r="I17" s="96"/>
      <c r="K17" s="94"/>
      <c r="L17" s="95"/>
      <c r="M17" s="95"/>
      <c r="N17" s="91"/>
      <c r="O17" s="91"/>
      <c r="P17" s="91"/>
      <c r="Q17" s="91"/>
      <c r="R17" s="91"/>
      <c r="S17" s="91"/>
      <c r="T17" s="96"/>
    </row>
    <row r="18" spans="2:20">
      <c r="B18" s="94"/>
      <c r="C18" s="97" t="s">
        <v>29</v>
      </c>
      <c r="D18" s="95"/>
      <c r="E18" s="95"/>
      <c r="F18" s="95"/>
      <c r="G18" s="95"/>
      <c r="H18" s="95"/>
      <c r="I18" s="96"/>
      <c r="K18" s="94"/>
      <c r="L18" s="97" t="s">
        <v>29</v>
      </c>
      <c r="M18" s="95"/>
      <c r="N18" s="91"/>
      <c r="O18" s="91"/>
      <c r="P18" s="91"/>
      <c r="Q18" s="91"/>
      <c r="R18" s="91"/>
      <c r="S18" s="91"/>
      <c r="T18" s="96"/>
    </row>
    <row r="19" spans="2:20">
      <c r="B19" s="94"/>
      <c r="C19" s="95" t="s">
        <v>548</v>
      </c>
      <c r="D19" s="95"/>
      <c r="E19" s="95"/>
      <c r="F19" s="95"/>
      <c r="G19" s="95"/>
      <c r="H19" s="95"/>
      <c r="I19" s="96"/>
      <c r="K19" s="94"/>
      <c r="L19" s="95" t="s">
        <v>547</v>
      </c>
      <c r="M19" s="95"/>
      <c r="N19" s="91"/>
      <c r="O19" s="91"/>
      <c r="P19" s="91"/>
      <c r="Q19" s="91"/>
      <c r="R19" s="91"/>
      <c r="S19" s="91"/>
      <c r="T19" s="96"/>
    </row>
    <row r="20" spans="2:20">
      <c r="B20" s="94"/>
      <c r="C20" s="95" t="s">
        <v>549</v>
      </c>
      <c r="D20" s="95"/>
      <c r="E20" s="95"/>
      <c r="F20" s="95"/>
      <c r="G20" s="95"/>
      <c r="H20" s="95"/>
      <c r="I20" s="96"/>
      <c r="K20" s="94"/>
      <c r="L20" s="95" t="s">
        <v>551</v>
      </c>
      <c r="M20" s="95"/>
      <c r="N20" s="91"/>
      <c r="O20" s="91"/>
      <c r="P20" s="91"/>
      <c r="Q20" s="91"/>
      <c r="R20" s="91"/>
      <c r="S20" s="91"/>
      <c r="T20" s="96"/>
    </row>
    <row r="21" spans="2:20">
      <c r="B21" s="94"/>
      <c r="C21" s="95" t="s">
        <v>550</v>
      </c>
      <c r="D21" s="95"/>
      <c r="E21" s="95"/>
      <c r="F21" s="95"/>
      <c r="G21" s="95"/>
      <c r="H21" s="95"/>
      <c r="I21" s="96"/>
      <c r="K21" s="94"/>
      <c r="L21" s="95" t="s">
        <v>552</v>
      </c>
      <c r="M21" s="95"/>
      <c r="N21" s="91"/>
      <c r="O21" s="91"/>
      <c r="P21" s="91"/>
      <c r="Q21" s="91"/>
      <c r="R21" s="91"/>
      <c r="S21" s="91"/>
      <c r="T21" s="96"/>
    </row>
    <row r="22" spans="2:20">
      <c r="B22" s="94"/>
      <c r="C22" s="95"/>
      <c r="D22" s="95"/>
      <c r="E22" s="95"/>
      <c r="F22" s="95"/>
      <c r="G22" s="95"/>
      <c r="H22" s="95"/>
      <c r="I22" s="96"/>
      <c r="K22" s="94"/>
      <c r="L22" s="95"/>
      <c r="M22" s="95"/>
      <c r="N22" s="91"/>
      <c r="O22" s="91"/>
      <c r="P22" s="91"/>
      <c r="Q22" s="91"/>
      <c r="R22" s="91"/>
      <c r="S22" s="91"/>
      <c r="T22" s="96"/>
    </row>
    <row r="23" spans="2:20">
      <c r="B23" s="94"/>
      <c r="C23" s="95"/>
      <c r="D23" s="95"/>
      <c r="E23" s="95"/>
      <c r="F23" s="95"/>
      <c r="G23" s="95"/>
      <c r="H23" s="95"/>
      <c r="I23" s="96"/>
      <c r="K23" s="94"/>
      <c r="L23" s="95"/>
      <c r="M23" s="95"/>
      <c r="N23" s="91"/>
      <c r="O23" s="91"/>
      <c r="P23" s="91"/>
      <c r="Q23" s="91"/>
      <c r="R23" s="91"/>
      <c r="S23" s="91"/>
      <c r="T23" s="96"/>
    </row>
    <row r="24" spans="2:20" ht="18.5">
      <c r="B24" s="94"/>
      <c r="C24" s="341" t="s">
        <v>306</v>
      </c>
      <c r="D24" s="95"/>
      <c r="E24" s="95"/>
      <c r="F24" s="95"/>
      <c r="G24" s="95"/>
      <c r="H24" s="95"/>
      <c r="I24" s="96"/>
      <c r="K24" s="94"/>
      <c r="L24" s="341" t="s">
        <v>320</v>
      </c>
      <c r="M24" s="95"/>
      <c r="N24" s="91"/>
      <c r="O24" s="91"/>
      <c r="P24" s="91"/>
      <c r="Q24" s="91"/>
      <c r="R24" s="91"/>
      <c r="S24" s="91"/>
      <c r="T24" s="96"/>
    </row>
    <row r="25" spans="2:20">
      <c r="B25" s="94"/>
      <c r="C25" s="95"/>
      <c r="D25" s="95"/>
      <c r="E25" s="95"/>
      <c r="F25" s="95"/>
      <c r="G25" s="95"/>
      <c r="H25" s="95"/>
      <c r="I25" s="96"/>
      <c r="K25" s="94"/>
      <c r="L25" s="95"/>
      <c r="M25" s="95"/>
      <c r="N25" s="91"/>
      <c r="O25" s="91"/>
      <c r="P25" s="91"/>
      <c r="Q25" s="91"/>
      <c r="R25" s="91"/>
      <c r="S25" s="91"/>
      <c r="T25" s="96"/>
    </row>
    <row r="26" spans="2:20">
      <c r="B26" s="94"/>
      <c r="C26" s="95" t="s">
        <v>322</v>
      </c>
      <c r="D26" s="95"/>
      <c r="E26" s="95"/>
      <c r="F26" s="95"/>
      <c r="G26" s="95"/>
      <c r="H26" s="95"/>
      <c r="I26" s="96"/>
      <c r="K26" s="94"/>
      <c r="L26" s="95" t="s">
        <v>321</v>
      </c>
      <c r="M26" s="95"/>
      <c r="N26" s="95"/>
      <c r="O26" s="95"/>
      <c r="P26" s="95"/>
      <c r="Q26" s="95"/>
      <c r="R26" s="95"/>
      <c r="S26" s="95"/>
      <c r="T26" s="96"/>
    </row>
    <row r="27" spans="2:20">
      <c r="B27" s="94"/>
      <c r="C27" s="95" t="s">
        <v>556</v>
      </c>
      <c r="D27" s="95"/>
      <c r="E27" s="95"/>
      <c r="F27" s="95"/>
      <c r="G27" s="95"/>
      <c r="H27" s="95"/>
      <c r="I27" s="96"/>
      <c r="K27" s="94"/>
      <c r="L27" s="95" t="s">
        <v>323</v>
      </c>
      <c r="M27" s="95"/>
      <c r="N27" s="95"/>
      <c r="O27" s="95"/>
      <c r="P27" s="95"/>
      <c r="Q27" s="95"/>
      <c r="R27" s="95"/>
      <c r="S27" s="95"/>
      <c r="T27" s="96"/>
    </row>
    <row r="28" spans="2:20">
      <c r="B28" s="94"/>
      <c r="C28" s="95"/>
      <c r="D28" s="95"/>
      <c r="E28" s="95"/>
      <c r="F28" s="95"/>
      <c r="G28" s="95"/>
      <c r="H28" s="95"/>
      <c r="I28" s="96"/>
      <c r="K28" s="94"/>
      <c r="L28" s="95"/>
      <c r="M28" s="95"/>
      <c r="N28" s="95"/>
      <c r="O28" s="95"/>
      <c r="P28" s="95"/>
      <c r="Q28" s="95"/>
      <c r="R28" s="95"/>
      <c r="S28" s="95"/>
      <c r="T28" s="96"/>
    </row>
    <row r="29" spans="2:20">
      <c r="B29" s="94"/>
      <c r="C29" s="95"/>
      <c r="D29" s="95"/>
      <c r="E29" s="95"/>
      <c r="F29" s="95"/>
      <c r="G29" s="95"/>
      <c r="H29" s="95"/>
      <c r="I29" s="96"/>
      <c r="K29" s="94"/>
      <c r="L29" s="95"/>
      <c r="M29" s="95"/>
      <c r="N29" s="91"/>
      <c r="O29" s="91"/>
      <c r="P29" s="91"/>
      <c r="Q29" s="91"/>
      <c r="R29" s="91"/>
      <c r="S29" s="91"/>
      <c r="T29" s="96"/>
    </row>
    <row r="30" spans="2:20" ht="18.5">
      <c r="B30" s="94"/>
      <c r="C30" s="341" t="s">
        <v>564</v>
      </c>
      <c r="D30" s="95"/>
      <c r="E30" s="95"/>
      <c r="F30" s="95"/>
      <c r="G30" s="95"/>
      <c r="H30" s="95"/>
      <c r="I30" s="96"/>
      <c r="K30" s="94"/>
      <c r="L30" s="341" t="s">
        <v>563</v>
      </c>
      <c r="M30" s="95"/>
      <c r="N30" s="91"/>
      <c r="O30" s="91"/>
      <c r="P30" s="91"/>
      <c r="Q30" s="91"/>
      <c r="R30" s="91"/>
      <c r="S30" s="91"/>
      <c r="T30" s="96"/>
    </row>
    <row r="31" spans="2:20">
      <c r="B31" s="94"/>
      <c r="C31" s="95"/>
      <c r="D31" s="95"/>
      <c r="E31" s="95"/>
      <c r="F31" s="95"/>
      <c r="G31" s="95"/>
      <c r="H31" s="95"/>
      <c r="I31" s="96"/>
      <c r="K31" s="94"/>
      <c r="L31" s="95"/>
      <c r="M31" s="95"/>
      <c r="N31" s="91"/>
      <c r="O31" s="91"/>
      <c r="P31" s="91"/>
      <c r="Q31" s="91"/>
      <c r="R31" s="91"/>
      <c r="S31" s="91"/>
      <c r="T31" s="96"/>
    </row>
    <row r="32" spans="2:20">
      <c r="B32" s="94"/>
      <c r="C32" s="95" t="s">
        <v>1833</v>
      </c>
      <c r="D32" s="95"/>
      <c r="E32" s="95"/>
      <c r="F32" s="95"/>
      <c r="G32" s="95"/>
      <c r="H32" s="95"/>
      <c r="I32" s="96"/>
      <c r="K32" s="94"/>
      <c r="L32" s="95" t="s">
        <v>1831</v>
      </c>
      <c r="M32" s="95"/>
      <c r="N32" s="95"/>
      <c r="O32" s="95"/>
      <c r="P32" s="95"/>
      <c r="Q32" s="95"/>
      <c r="R32" s="95"/>
      <c r="S32" s="95"/>
      <c r="T32" s="96"/>
    </row>
    <row r="33" spans="2:20">
      <c r="B33" s="94"/>
      <c r="C33" s="758" t="s">
        <v>1834</v>
      </c>
      <c r="D33" s="95"/>
      <c r="E33" s="95"/>
      <c r="F33" s="95"/>
      <c r="G33" s="95"/>
      <c r="H33" s="95"/>
      <c r="I33" s="96"/>
      <c r="K33" s="94"/>
      <c r="L33" s="95" t="s">
        <v>1832</v>
      </c>
      <c r="M33" s="95"/>
      <c r="N33" s="95"/>
      <c r="O33" s="95"/>
      <c r="P33" s="95"/>
      <c r="Q33" s="95"/>
      <c r="R33" s="95"/>
      <c r="S33" s="95"/>
      <c r="T33" s="96"/>
    </row>
    <row r="34" spans="2:20">
      <c r="B34" s="94"/>
      <c r="C34" s="95" t="s">
        <v>1835</v>
      </c>
      <c r="D34" s="95"/>
      <c r="E34" s="95"/>
      <c r="F34" s="95"/>
      <c r="G34" s="95"/>
      <c r="H34" s="95"/>
      <c r="I34" s="96"/>
      <c r="K34" s="94"/>
      <c r="L34" s="95" t="s">
        <v>1836</v>
      </c>
      <c r="M34" s="95"/>
      <c r="N34" s="95"/>
      <c r="O34" s="95"/>
      <c r="P34" s="95"/>
      <c r="Q34" s="95"/>
      <c r="R34" s="95"/>
      <c r="S34" s="95"/>
      <c r="T34" s="96"/>
    </row>
    <row r="35" spans="2:20" ht="15" thickBot="1">
      <c r="B35" s="98"/>
      <c r="C35" s="99"/>
      <c r="D35" s="99"/>
      <c r="E35" s="99"/>
      <c r="F35" s="99"/>
      <c r="G35" s="99"/>
      <c r="H35" s="99"/>
      <c r="I35" s="100"/>
      <c r="K35" s="98"/>
      <c r="L35" s="99"/>
      <c r="M35" s="99"/>
      <c r="N35" s="99"/>
      <c r="O35" s="99"/>
      <c r="P35" s="99"/>
      <c r="Q35" s="99"/>
      <c r="R35" s="99"/>
      <c r="S35" s="99"/>
      <c r="T35" s="100"/>
    </row>
    <row r="36" spans="2:20">
      <c r="C36" s="169"/>
      <c r="E36" s="83"/>
      <c r="F36" s="83"/>
      <c r="G36" s="83"/>
      <c r="H36" s="83"/>
      <c r="I36" s="83"/>
      <c r="J36" s="83"/>
      <c r="L36" s="169"/>
      <c r="N36" s="83"/>
      <c r="O36" s="83"/>
      <c r="P36" s="83"/>
      <c r="Q36" s="83"/>
      <c r="R36" s="83"/>
      <c r="S36" s="83"/>
    </row>
    <row r="37" spans="2:20"/>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5" zeroHeight="1"/>
  <cols>
    <col min="1" max="1" width="11.453125" customWidth="1"/>
    <col min="2" max="2" width="7.81640625" customWidth="1"/>
    <col min="3" max="3" width="6.453125" customWidth="1"/>
    <col min="4" max="4" width="25.7265625" customWidth="1"/>
    <col min="5" max="5" width="9.26953125" customWidth="1"/>
    <col min="6" max="6" width="11.453125" customWidth="1"/>
    <col min="7" max="16384" width="11.453125" hidden="1"/>
  </cols>
  <sheetData>
    <row r="1" spans="2:5"/>
    <row r="2" spans="2:5" ht="28.5">
      <c r="B2" s="926" t="s">
        <v>458</v>
      </c>
      <c r="C2" s="926"/>
      <c r="D2" s="926"/>
    </row>
    <row r="3" spans="2:5" ht="15" thickBot="1"/>
    <row r="4" spans="2:5" ht="15" thickTop="1">
      <c r="B4" s="930" t="s">
        <v>405</v>
      </c>
      <c r="C4" s="941" t="s">
        <v>404</v>
      </c>
      <c r="D4" s="943" t="s">
        <v>403</v>
      </c>
      <c r="E4" s="515"/>
    </row>
    <row r="5" spans="2:5">
      <c r="B5" s="940"/>
      <c r="C5" s="942"/>
      <c r="D5" s="944"/>
      <c r="E5" s="516" t="s">
        <v>1710</v>
      </c>
    </row>
    <row r="6" spans="2:5" ht="15.5">
      <c r="B6" s="104"/>
      <c r="C6" s="178"/>
      <c r="D6" s="179" t="s">
        <v>24</v>
      </c>
      <c r="E6" s="517"/>
    </row>
    <row r="7" spans="2:5">
      <c r="B7" s="105" t="s">
        <v>171</v>
      </c>
      <c r="C7" s="108">
        <v>15</v>
      </c>
      <c r="D7" s="170" t="str">
        <f>VLOOKUP($C7,Language!$D$5:$E$100,2,0)</f>
        <v>Mexico</v>
      </c>
      <c r="E7" s="517" t="b">
        <f>OR(CalcA!$K$5&gt;0,CalcA!$I$5&gt;0)</f>
        <v>0</v>
      </c>
    </row>
    <row r="8" spans="2:5">
      <c r="B8" s="105" t="s">
        <v>172</v>
      </c>
      <c r="C8" s="111">
        <v>60</v>
      </c>
      <c r="D8" s="170" t="str">
        <f>VLOOKUP($C8,Language!$D$5:$E$100,2,0)</f>
        <v>Zuid-Afrika</v>
      </c>
      <c r="E8" s="517" t="b">
        <f>OR(CalcA!$K$6&gt;0,CalcA!$I$6&gt;0)</f>
        <v>0</v>
      </c>
    </row>
    <row r="9" spans="2:5">
      <c r="B9" s="105" t="s">
        <v>173</v>
      </c>
      <c r="C9" s="111">
        <v>25</v>
      </c>
      <c r="D9" s="170" t="str">
        <f>VLOOKUP($C9,Language!$D$5:$E$100,2,0)</f>
        <v>Rep. Korea</v>
      </c>
      <c r="E9" s="517" t="b">
        <f>OR(CalcA!$K$7&gt;0,CalcA!$I$7&gt;0)</f>
        <v>0</v>
      </c>
    </row>
    <row r="10" spans="2:5">
      <c r="B10" s="105" t="s">
        <v>1044</v>
      </c>
      <c r="C10" s="356">
        <v>41</v>
      </c>
      <c r="D10" s="170" t="str">
        <f>VLOOKUP($C10,Language!$D$5:$E$100,2,0)</f>
        <v>Tsjechië</v>
      </c>
      <c r="E10" s="517" t="b">
        <f>OR(CalcA!$K$8&gt;0,CalcA!$I$8&gt;0)</f>
        <v>0</v>
      </c>
    </row>
    <row r="11" spans="2:5" ht="15.5">
      <c r="B11" s="106"/>
      <c r="C11" s="178"/>
      <c r="D11" s="179" t="s">
        <v>20</v>
      </c>
      <c r="E11" s="517"/>
    </row>
    <row r="12" spans="2:5">
      <c r="B12" s="105" t="s">
        <v>174</v>
      </c>
      <c r="C12" s="111">
        <v>30</v>
      </c>
      <c r="D12" s="170" t="str">
        <f>VLOOKUP($C12,Language!$D$5:$E$100,2,0)</f>
        <v>Canada</v>
      </c>
      <c r="E12" s="517" t="b">
        <f>OR(CalcB!$K$5&gt;0,CalcB!$I$5&gt;0)</f>
        <v>0</v>
      </c>
    </row>
    <row r="13" spans="2:5">
      <c r="B13" s="105" t="s">
        <v>175</v>
      </c>
      <c r="C13" s="108">
        <v>65</v>
      </c>
      <c r="D13" s="170" t="str">
        <f>VLOOKUP($C13,Language!$D$5:$E$100,2,0)</f>
        <v>Bosnië/Herzeg.</v>
      </c>
      <c r="E13" s="517" t="b">
        <f>OR(CalcB!$K$6&gt;0,CalcB!$I$6&gt;0)</f>
        <v>0</v>
      </c>
    </row>
    <row r="14" spans="2:5">
      <c r="B14" s="105" t="s">
        <v>176</v>
      </c>
      <c r="C14" s="111">
        <v>55</v>
      </c>
      <c r="D14" s="170" t="str">
        <f>VLOOKUP($C14,Language!$D$5:$E$100,2,0)</f>
        <v>Qatar</v>
      </c>
      <c r="E14" s="517" t="b">
        <f>OR(CalcB!$K$7&gt;0,CalcB!$I$7&gt;0)</f>
        <v>0</v>
      </c>
    </row>
    <row r="15" spans="2:5">
      <c r="B15" s="105" t="s">
        <v>1045</v>
      </c>
      <c r="C15" s="356">
        <v>19</v>
      </c>
      <c r="D15" s="170" t="str">
        <f>VLOOKUP($C15,Language!$D$5:$E$100,2,0)</f>
        <v>Zwitserland</v>
      </c>
      <c r="E15" s="517" t="b">
        <f>OR(CalcB!$K$8&gt;0,CalcB!$I$8&gt;0)</f>
        <v>0</v>
      </c>
    </row>
    <row r="16" spans="2:5" ht="15.5">
      <c r="B16" s="106"/>
      <c r="C16" s="178"/>
      <c r="D16" s="179" t="s">
        <v>21</v>
      </c>
      <c r="E16" s="517"/>
    </row>
    <row r="17" spans="2:5">
      <c r="B17" s="105" t="s">
        <v>177</v>
      </c>
      <c r="C17" s="111">
        <v>6</v>
      </c>
      <c r="D17" s="170" t="str">
        <f>VLOOKUP($C17,Language!$D$5:$E$100,2,0)</f>
        <v>Brazilië</v>
      </c>
      <c r="E17" s="517" t="b">
        <f>OR(CalcC!$K$5&gt;0,CalcC!$I$5&gt;0)</f>
        <v>0</v>
      </c>
    </row>
    <row r="18" spans="2:5">
      <c r="B18" s="105" t="s">
        <v>178</v>
      </c>
      <c r="C18" s="111">
        <v>8</v>
      </c>
      <c r="D18" s="170" t="str">
        <f>VLOOKUP($C18,Language!$D$5:$E$100,2,0)</f>
        <v>Marokko</v>
      </c>
      <c r="E18" s="517" t="b">
        <f>OR(CalcC!$K$6&gt;0,CalcC!$I$6&gt;0)</f>
        <v>0</v>
      </c>
    </row>
    <row r="19" spans="2:5">
      <c r="B19" s="105" t="s">
        <v>179</v>
      </c>
      <c r="C19" s="111">
        <v>83</v>
      </c>
      <c r="D19" s="170" t="str">
        <f>VLOOKUP($C19,Language!$D$5:$E$100,2,0)</f>
        <v>Haïti</v>
      </c>
      <c r="E19" s="517" t="b">
        <f>OR(CalcC!$K$7&gt;0,CalcC!$I$7&gt;0)</f>
        <v>0</v>
      </c>
    </row>
    <row r="20" spans="2:5">
      <c r="B20" s="105" t="s">
        <v>1046</v>
      </c>
      <c r="C20" s="356">
        <v>43</v>
      </c>
      <c r="D20" s="170" t="str">
        <f>VLOOKUP($C20,Language!$D$5:$E$100,2,0)</f>
        <v>Schotland</v>
      </c>
      <c r="E20" s="517" t="b">
        <f>OR(CalcC!$K$8&gt;0,CalcC!$I$8&gt;0)</f>
        <v>0</v>
      </c>
    </row>
    <row r="21" spans="2:5" ht="15.5">
      <c r="B21" s="106"/>
      <c r="C21" s="178"/>
      <c r="D21" s="179" t="s">
        <v>25</v>
      </c>
      <c r="E21" s="517"/>
    </row>
    <row r="22" spans="2:5">
      <c r="B22" s="105" t="s">
        <v>180</v>
      </c>
      <c r="C22" s="111">
        <v>16</v>
      </c>
      <c r="D22" s="170" t="str">
        <f>VLOOKUP($C22,Language!$D$5:$E$100,2,0)</f>
        <v>USA</v>
      </c>
      <c r="E22" s="517" t="b">
        <f>OR(CalcD!$K$5&gt;0,CalcD!$I$5&gt;0)</f>
        <v>0</v>
      </c>
    </row>
    <row r="23" spans="2:5">
      <c r="B23" s="105" t="s">
        <v>181</v>
      </c>
      <c r="C23" s="111">
        <v>40</v>
      </c>
      <c r="D23" s="170" t="str">
        <f>VLOOKUP($C23,Language!$D$5:$E$100,2,0)</f>
        <v>Paraguay</v>
      </c>
      <c r="E23" s="517" t="b">
        <f>OR(CalcD!$K$6&gt;0,CalcD!$I$6&gt;0)</f>
        <v>0</v>
      </c>
    </row>
    <row r="24" spans="2:5">
      <c r="B24" s="105" t="s">
        <v>182</v>
      </c>
      <c r="C24" s="111">
        <v>27</v>
      </c>
      <c r="D24" s="170" t="str">
        <f>VLOOKUP($C24,Language!$D$5:$E$100,2,0)</f>
        <v>Australië</v>
      </c>
      <c r="E24" s="517" t="b">
        <f>OR(CalcD!$K$7&gt;0,CalcD!$I$7&gt;0)</f>
        <v>0</v>
      </c>
    </row>
    <row r="25" spans="2:5">
      <c r="B25" s="105" t="s">
        <v>1047</v>
      </c>
      <c r="C25" s="356">
        <v>22</v>
      </c>
      <c r="D25" s="170" t="str">
        <f>VLOOKUP($C25,Language!$D$5:$E$100,2,0)</f>
        <v>Turkije</v>
      </c>
      <c r="E25" s="517" t="b">
        <f>OR(CalcD!$K$8&gt;0,CalcD!$I$8&gt;0)</f>
        <v>0</v>
      </c>
    </row>
    <row r="26" spans="2:5" ht="15.5">
      <c r="B26" s="106"/>
      <c r="C26" s="178"/>
      <c r="D26" s="179" t="s">
        <v>22</v>
      </c>
      <c r="E26" s="517"/>
    </row>
    <row r="27" spans="2:5">
      <c r="B27" s="105" t="s">
        <v>183</v>
      </c>
      <c r="C27" s="111">
        <v>10</v>
      </c>
      <c r="D27" s="170" t="str">
        <f>VLOOKUP($C27,Language!$D$5:$E$100,2,0)</f>
        <v>Duitsland</v>
      </c>
      <c r="E27" s="517" t="b">
        <f>OR(CalcE!$K$5&gt;0,CalcE!$I$5&gt;0)</f>
        <v>0</v>
      </c>
    </row>
    <row r="28" spans="2:5">
      <c r="B28" s="105" t="s">
        <v>184</v>
      </c>
      <c r="C28" s="108">
        <v>82</v>
      </c>
      <c r="D28" s="170" t="str">
        <f>VLOOKUP($C28,Language!$D$5:$E$100,2,0)</f>
        <v>Curacao</v>
      </c>
      <c r="E28" s="517" t="b">
        <f>OR(CalcE!$K$6&gt;0,CalcE!$I$6&gt;0)</f>
        <v>0</v>
      </c>
    </row>
    <row r="29" spans="2:5">
      <c r="B29" s="105" t="s">
        <v>185</v>
      </c>
      <c r="C29" s="111">
        <v>34</v>
      </c>
      <c r="D29" s="170" t="str">
        <f>VLOOKUP($C29,Language!$D$5:$E$100,2,0)</f>
        <v>Ivoorkust</v>
      </c>
      <c r="E29" s="517" t="b">
        <f>OR(CalcE!$K$7&gt;0,CalcE!$I$7&gt;0)</f>
        <v>0</v>
      </c>
    </row>
    <row r="30" spans="2:5">
      <c r="B30" s="105" t="s">
        <v>1048</v>
      </c>
      <c r="C30" s="356">
        <v>23</v>
      </c>
      <c r="D30" s="170" t="str">
        <f>VLOOKUP($C30,Language!$D$5:$E$100,2,0)</f>
        <v>Ecuador</v>
      </c>
      <c r="E30" s="517" t="b">
        <f>OR(CalcE!$K$8&gt;0,CalcE!$I$8&gt;0)</f>
        <v>0</v>
      </c>
    </row>
    <row r="31" spans="2:5" ht="15.5">
      <c r="B31" s="106"/>
      <c r="C31" s="178"/>
      <c r="D31" s="179" t="s">
        <v>23</v>
      </c>
      <c r="E31" s="517"/>
    </row>
    <row r="32" spans="2:5">
      <c r="B32" s="105" t="s">
        <v>266</v>
      </c>
      <c r="C32" s="108">
        <v>7</v>
      </c>
      <c r="D32" s="170" t="str">
        <f>VLOOKUP($C32,Language!$D$5:$E$100,2,0)</f>
        <v>Nederland</v>
      </c>
      <c r="E32" s="517" t="b">
        <f>OR(CalcF!$K$5&gt;0,CalcF!$I$5&gt;0)</f>
        <v>0</v>
      </c>
    </row>
    <row r="33" spans="2:5">
      <c r="B33" s="105" t="s">
        <v>267</v>
      </c>
      <c r="C33" s="111">
        <v>18</v>
      </c>
      <c r="D33" s="170" t="str">
        <f>VLOOKUP($C33,Language!$D$5:$E$100,2,0)</f>
        <v>Japan</v>
      </c>
      <c r="E33" s="517" t="b">
        <f>OR(CalcF!$K$6&gt;0,CalcF!$I$6&gt;0)</f>
        <v>0</v>
      </c>
    </row>
    <row r="34" spans="2:5">
      <c r="B34" s="105" t="s">
        <v>268</v>
      </c>
      <c r="C34" s="108">
        <v>38</v>
      </c>
      <c r="D34" s="170" t="str">
        <f>VLOOKUP($C34,Language!$D$5:$E$100,2,0)</f>
        <v>Zweden</v>
      </c>
      <c r="E34" s="517" t="b">
        <f>OR(CalcF!$K$7&gt;0,CalcF!$I$7&gt;0)</f>
        <v>0</v>
      </c>
    </row>
    <row r="35" spans="2:5">
      <c r="B35" s="105" t="s">
        <v>1049</v>
      </c>
      <c r="C35" s="357">
        <v>44</v>
      </c>
      <c r="D35" s="170" t="str">
        <f>VLOOKUP($C35,Language!$D$5:$E$100,2,0)</f>
        <v>Tunesië</v>
      </c>
      <c r="E35" s="517" t="b">
        <f>OR(CalcF!$K$8&gt;0,CalcF!$I$8&gt;0)</f>
        <v>0</v>
      </c>
    </row>
    <row r="36" spans="2:5" ht="15.5">
      <c r="B36" s="106"/>
      <c r="C36" s="178"/>
      <c r="D36" s="179" t="s">
        <v>272</v>
      </c>
      <c r="E36" s="517"/>
    </row>
    <row r="37" spans="2:5">
      <c r="B37" s="105" t="s">
        <v>186</v>
      </c>
      <c r="C37" s="111">
        <v>9</v>
      </c>
      <c r="D37" s="170" t="str">
        <f>VLOOKUP($C37,Language!$D$5:$E$100,2,0)</f>
        <v>België</v>
      </c>
      <c r="E37" s="517" t="b">
        <f>OR(CalcG!$K$5&gt;0,CalcG!$I$5&gt;0)</f>
        <v>0</v>
      </c>
    </row>
    <row r="38" spans="2:5">
      <c r="B38" s="105" t="s">
        <v>187</v>
      </c>
      <c r="C38" s="111">
        <v>29</v>
      </c>
      <c r="D38" s="170" t="str">
        <f>VLOOKUP($C38,Language!$D$5:$E$100,2,0)</f>
        <v>Egypte</v>
      </c>
      <c r="E38" s="517" t="b">
        <f>OR(CalcG!$K$6&gt;0,CalcG!$I$6&gt;0)</f>
        <v>0</v>
      </c>
    </row>
    <row r="39" spans="2:5">
      <c r="B39" s="105" t="s">
        <v>188</v>
      </c>
      <c r="C39" s="111">
        <v>21</v>
      </c>
      <c r="D39" s="170" t="str">
        <f>VLOOKUP($C39,Language!$D$5:$E$100,2,0)</f>
        <v>IR Iran</v>
      </c>
      <c r="E39" s="517" t="b">
        <f>OR(CalcG!$K$7&gt;0,CalcG!$I$7&gt;0)</f>
        <v>0</v>
      </c>
    </row>
    <row r="40" spans="2:5">
      <c r="B40" s="105" t="s">
        <v>1050</v>
      </c>
      <c r="C40" s="356">
        <v>85</v>
      </c>
      <c r="D40" s="170" t="str">
        <f>VLOOKUP($C40,Language!$D$5:$E$100,2,0)</f>
        <v>Nieuw-Zeeland</v>
      </c>
      <c r="E40" s="517" t="b">
        <f>OR(CalcG!$K$8&gt;0,CalcG!$I$8&gt;0)</f>
        <v>0</v>
      </c>
    </row>
    <row r="41" spans="2:5" ht="15.5">
      <c r="B41" s="106"/>
      <c r="C41" s="178"/>
      <c r="D41" s="179" t="s">
        <v>31</v>
      </c>
      <c r="E41" s="517"/>
    </row>
    <row r="42" spans="2:5">
      <c r="B42" s="105" t="s">
        <v>269</v>
      </c>
      <c r="C42" s="111">
        <v>2</v>
      </c>
      <c r="D42" s="172" t="str">
        <f>VLOOKUP($C42,Language!$D$5:$E$100,2,0)</f>
        <v>Spanje</v>
      </c>
      <c r="E42" s="517" t="b">
        <f>OR(CalcH!$K$5&gt;0,CalcH!$I$5&gt;0)</f>
        <v>0</v>
      </c>
    </row>
    <row r="43" spans="2:5">
      <c r="B43" s="105" t="s">
        <v>270</v>
      </c>
      <c r="C43" s="111">
        <v>69</v>
      </c>
      <c r="D43" s="172" t="str">
        <f>VLOOKUP($C43,Language!$D$5:$E$100,2,0)</f>
        <v>Kaapverdië</v>
      </c>
      <c r="E43" s="517" t="b">
        <f>OR(CalcH!$K$6&gt;0,CalcH!$I$6&gt;0)</f>
        <v>0</v>
      </c>
    </row>
    <row r="44" spans="2:5">
      <c r="B44" s="105" t="s">
        <v>271</v>
      </c>
      <c r="C44" s="111">
        <v>61</v>
      </c>
      <c r="D44" s="172" t="str">
        <f>VLOOKUP($C44,Language!$D$5:$E$100,2,0)</f>
        <v>Saoedi-Arabië</v>
      </c>
      <c r="E44" s="517" t="b">
        <f>OR(CalcH!$K$7&gt;0,CalcH!$I$7&gt;0)</f>
        <v>0</v>
      </c>
    </row>
    <row r="45" spans="2:5">
      <c r="B45" s="151" t="s">
        <v>1051</v>
      </c>
      <c r="C45" s="356">
        <v>17</v>
      </c>
      <c r="D45" s="172" t="str">
        <f>VLOOKUP($C45,Language!$D$5:$E$100,2,0)</f>
        <v>Uruguay</v>
      </c>
      <c r="E45" s="517" t="b">
        <f>OR(CalcH!$K$8&gt;0,CalcH!$I$8&gt;0)</f>
        <v>0</v>
      </c>
    </row>
    <row r="46" spans="2:5" ht="15.5">
      <c r="B46" s="104"/>
      <c r="C46" s="178"/>
      <c r="D46" s="179" t="s">
        <v>32</v>
      </c>
      <c r="E46" s="517"/>
    </row>
    <row r="47" spans="2:5">
      <c r="B47" s="105" t="s">
        <v>842</v>
      </c>
      <c r="C47" s="108">
        <v>1</v>
      </c>
      <c r="D47" s="170" t="str">
        <f>VLOOKUP($C47,Language!$D$5:$E$100,2,0)</f>
        <v>Frankrijk</v>
      </c>
      <c r="E47" s="517" t="b">
        <f>OR(CalcI!$K$5&gt;0,CalcI!$I$5&gt;0)</f>
        <v>0</v>
      </c>
    </row>
    <row r="48" spans="2:5">
      <c r="B48" s="105" t="s">
        <v>843</v>
      </c>
      <c r="C48" s="111">
        <v>14</v>
      </c>
      <c r="D48" s="170" t="str">
        <f>VLOOKUP($C48,Language!$D$5:$E$100,2,0)</f>
        <v>Senegal</v>
      </c>
      <c r="E48" s="517" t="b">
        <f>OR(CalcI!$K$6&gt;0,CalcI!$I$6&gt;0)</f>
        <v>0</v>
      </c>
    </row>
    <row r="49" spans="2:5">
      <c r="B49" s="105" t="s">
        <v>844</v>
      </c>
      <c r="C49" s="111">
        <v>57</v>
      </c>
      <c r="D49" s="170" t="str">
        <f>VLOOKUP($C49,Language!$D$5:$E$100,2,0)</f>
        <v>Irak</v>
      </c>
      <c r="E49" s="517" t="b">
        <f>OR(CalcI!$K$7&gt;0,CalcI!$I$7&gt;0)</f>
        <v>0</v>
      </c>
    </row>
    <row r="50" spans="2:5">
      <c r="B50" s="105" t="s">
        <v>1052</v>
      </c>
      <c r="C50" s="356">
        <v>31</v>
      </c>
      <c r="D50" s="170" t="str">
        <f>VLOOKUP($C50,Language!$D$5:$E$100,2,0)</f>
        <v>Noorwegen</v>
      </c>
      <c r="E50" s="517" t="b">
        <f>OR(CalcI!$K$8&gt;0,CalcI!$I$8&gt;0)</f>
        <v>0</v>
      </c>
    </row>
    <row r="51" spans="2:5" ht="15.5">
      <c r="B51" s="106"/>
      <c r="C51" s="178"/>
      <c r="D51" s="179" t="s">
        <v>841</v>
      </c>
      <c r="E51" s="517"/>
    </row>
    <row r="52" spans="2:5">
      <c r="B52" s="105" t="s">
        <v>845</v>
      </c>
      <c r="C52" s="111">
        <v>3</v>
      </c>
      <c r="D52" s="170" t="str">
        <f>VLOOKUP($C52,Language!$D$5:$E$100,2,0)</f>
        <v>Argentinië</v>
      </c>
      <c r="E52" s="517" t="b">
        <f>OR(CalcJ!$K$5&gt;0,CalcJ!$I$5&gt;0)</f>
        <v>0</v>
      </c>
    </row>
    <row r="53" spans="2:5">
      <c r="B53" s="105" t="s">
        <v>846</v>
      </c>
      <c r="C53" s="108">
        <v>28</v>
      </c>
      <c r="D53" s="170" t="str">
        <f>VLOOKUP($C53,Language!$D$5:$E$100,2,0)</f>
        <v>Algerije</v>
      </c>
      <c r="E53" s="517" t="b">
        <f>OR(CalcJ!$K$6&gt;0,CalcJ!$I$6&gt;0)</f>
        <v>0</v>
      </c>
    </row>
    <row r="54" spans="2:5">
      <c r="B54" s="105" t="s">
        <v>847</v>
      </c>
      <c r="C54" s="111">
        <v>24</v>
      </c>
      <c r="D54" s="170" t="str">
        <f>VLOOKUP($C54,Language!$D$5:$E$100,2,0)</f>
        <v>Oostenrijk</v>
      </c>
      <c r="E54" s="517" t="b">
        <f>OR(CalcJ!$K$7&gt;0,CalcJ!$I$7&gt;0)</f>
        <v>0</v>
      </c>
    </row>
    <row r="55" spans="2:5">
      <c r="B55" s="105" t="s">
        <v>1053</v>
      </c>
      <c r="C55" s="356">
        <v>63</v>
      </c>
      <c r="D55" s="170" t="str">
        <f>VLOOKUP($C55,Language!$D$5:$E$100,2,0)</f>
        <v>Jordanië</v>
      </c>
      <c r="E55" s="517" t="b">
        <f>OR(CalcJ!$K$8&gt;0,CalcJ!$I$8&gt;0)</f>
        <v>0</v>
      </c>
    </row>
    <row r="56" spans="2:5" ht="15.5">
      <c r="B56" s="106"/>
      <c r="C56" s="178"/>
      <c r="D56" s="179" t="s">
        <v>33</v>
      </c>
      <c r="E56" s="517"/>
    </row>
    <row r="57" spans="2:5">
      <c r="B57" s="105" t="s">
        <v>848</v>
      </c>
      <c r="C57" s="111">
        <v>5</v>
      </c>
      <c r="D57" s="170" t="str">
        <f>VLOOKUP($C57,Language!$D$5:$E$100,2,0)</f>
        <v>Portugal</v>
      </c>
      <c r="E57" s="517" t="b">
        <f>OR(CalcK!$K$5&gt;0,CalcK!$I$5&gt;0)</f>
        <v>0</v>
      </c>
    </row>
    <row r="58" spans="2:5">
      <c r="B58" s="105" t="s">
        <v>849</v>
      </c>
      <c r="C58" s="111">
        <v>46</v>
      </c>
      <c r="D58" s="170" t="str">
        <f>VLOOKUP($C58,Language!$D$5:$E$100,2,0)</f>
        <v>DR Congo</v>
      </c>
      <c r="E58" s="517" t="b">
        <f>OR(CalcK!$K$6&gt;0,CalcK!$I$6&gt;0)</f>
        <v>0</v>
      </c>
    </row>
    <row r="59" spans="2:5">
      <c r="B59" s="105" t="s">
        <v>850</v>
      </c>
      <c r="C59" s="111">
        <v>50</v>
      </c>
      <c r="D59" s="170" t="str">
        <f>VLOOKUP($C59,Language!$D$5:$E$100,2,0)</f>
        <v>Oezbekistan</v>
      </c>
      <c r="E59" s="517" t="b">
        <f>OR(CalcK!$K$7&gt;0,CalcK!$I$7&gt;0)</f>
        <v>0</v>
      </c>
    </row>
    <row r="60" spans="2:5">
      <c r="B60" s="105" t="s">
        <v>1054</v>
      </c>
      <c r="C60" s="358">
        <v>13</v>
      </c>
      <c r="D60" s="170" t="str">
        <f>VLOOKUP($C60,Language!$D$5:$E$100,2,0)</f>
        <v>Colombia</v>
      </c>
      <c r="E60" s="517" t="b">
        <f>OR(CalcK!$K$8&gt;0,CalcK!$I$8&gt;0)</f>
        <v>0</v>
      </c>
    </row>
    <row r="61" spans="2:5" ht="15.5">
      <c r="B61" s="106"/>
      <c r="C61" s="178"/>
      <c r="D61" s="179" t="s">
        <v>34</v>
      </c>
      <c r="E61" s="517"/>
    </row>
    <row r="62" spans="2:5">
      <c r="B62" s="105" t="s">
        <v>851</v>
      </c>
      <c r="C62" s="111">
        <v>4</v>
      </c>
      <c r="D62" s="170" t="str">
        <f>VLOOKUP($C62,Language!$D$5:$E$100,2,0)</f>
        <v>Engeland</v>
      </c>
      <c r="E62" s="517" t="b">
        <f>OR(CalcL!$K$5&gt;0,CalcL!$I$5&gt;0)</f>
        <v>0</v>
      </c>
    </row>
    <row r="63" spans="2:5">
      <c r="B63" s="105" t="s">
        <v>852</v>
      </c>
      <c r="C63" s="111">
        <v>11</v>
      </c>
      <c r="D63" s="170" t="str">
        <f>VLOOKUP($C63,Language!$D$5:$E$100,2,0)</f>
        <v>Kroatië</v>
      </c>
      <c r="E63" s="517" t="b">
        <f>OR(CalcL!$K$6&gt;0,CalcL!$I$6&gt;0)</f>
        <v>0</v>
      </c>
    </row>
    <row r="64" spans="2:5">
      <c r="B64" s="105" t="s">
        <v>853</v>
      </c>
      <c r="C64" s="111">
        <v>74</v>
      </c>
      <c r="D64" s="170" t="str">
        <f>VLOOKUP($C64,Language!$D$5:$E$100,2,0)</f>
        <v>Ghana</v>
      </c>
      <c r="E64" s="517" t="b">
        <f>OR(CalcL!$K$7&gt;0,CalcL!$I$7&gt;0)</f>
        <v>0</v>
      </c>
    </row>
    <row r="65" spans="2:5" ht="15" thickBot="1">
      <c r="B65" s="107" t="s">
        <v>1055</v>
      </c>
      <c r="C65" s="359">
        <v>33</v>
      </c>
      <c r="D65" s="360" t="str">
        <f>VLOOKUP($C65,Language!$D$5:$E$100,2,0)</f>
        <v>Panama</v>
      </c>
      <c r="E65" s="518" t="b">
        <f>OR(CalcL!$K$8&gt;0,CalcL!$I$8&gt;0)</f>
        <v>0</v>
      </c>
    </row>
    <row r="66" spans="2:5" ht="15" thickTop="1"/>
    <row r="67" spans="2:5"/>
    <row r="68" spans="2:5"/>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defaultColWidth="0" defaultRowHeight="14.5" zeroHeight="1"/>
  <cols>
    <col min="1" max="1" width="11.453125" customWidth="1"/>
    <col min="2" max="2" width="9.26953125" customWidth="1"/>
    <col min="3" max="3" width="7.26953125" style="22" customWidth="1"/>
    <col min="4" max="4" width="8.81640625" style="22" customWidth="1"/>
    <col min="5" max="5" width="27.26953125" customWidth="1"/>
    <col min="6" max="6" width="26.7265625" customWidth="1"/>
    <col min="7" max="7" width="8.26953125" customWidth="1"/>
    <col min="8" max="8" width="21.54296875" customWidth="1"/>
    <col min="9" max="9" width="18" customWidth="1"/>
    <col min="10" max="10" width="19" customWidth="1"/>
    <col min="11" max="11" width="18.1796875" customWidth="1"/>
    <col min="12" max="12" width="10.26953125" customWidth="1"/>
    <col min="13" max="13" width="13.54296875" style="22" customWidth="1"/>
    <col min="14" max="14" width="23" style="22" customWidth="1"/>
    <col min="15" max="16" width="4.7265625" style="22" customWidth="1"/>
    <col min="17" max="24" width="4.7265625" style="22" hidden="1" customWidth="1"/>
    <col min="25" max="25" width="5.1796875" hidden="1" customWidth="1"/>
    <col min="26" max="16384" width="11.453125" hidden="1"/>
  </cols>
  <sheetData>
    <row r="1" spans="1:14" ht="28.5">
      <c r="A1" s="90"/>
      <c r="B1" s="945" t="str">
        <f>Language!$E$125</f>
        <v>Wedstrijden</v>
      </c>
      <c r="C1" s="945"/>
      <c r="D1" s="945"/>
      <c r="E1" s="945"/>
      <c r="F1" s="945"/>
      <c r="G1" s="945"/>
      <c r="H1" s="945"/>
      <c r="I1" s="945"/>
      <c r="J1" s="945"/>
    </row>
    <row r="2" spans="1:14" ht="18.75" customHeight="1" thickBot="1">
      <c r="A2" s="89"/>
      <c r="B2" s="50"/>
      <c r="C2" s="50"/>
      <c r="D2" s="50"/>
      <c r="E2" s="50"/>
      <c r="F2" s="50"/>
      <c r="G2" s="50"/>
      <c r="H2" s="50"/>
      <c r="I2" s="50"/>
      <c r="J2" s="50"/>
    </row>
    <row r="3" spans="1:14" ht="30" customHeight="1" thickTop="1" thickBot="1">
      <c r="A3" s="89"/>
      <c r="B3" s="88" t="s">
        <v>393</v>
      </c>
      <c r="C3" s="946" t="s">
        <v>307</v>
      </c>
      <c r="D3" s="946"/>
      <c r="E3" s="77" t="s">
        <v>396</v>
      </c>
      <c r="F3" s="77" t="s">
        <v>554</v>
      </c>
      <c r="G3" s="152" t="s">
        <v>391</v>
      </c>
      <c r="H3" s="77" t="s">
        <v>392</v>
      </c>
      <c r="I3" s="77" t="s">
        <v>284</v>
      </c>
      <c r="J3" s="77" t="s">
        <v>285</v>
      </c>
      <c r="K3" s="78" t="s">
        <v>402</v>
      </c>
    </row>
    <row r="4" spans="1:14">
      <c r="B4" s="163">
        <v>1</v>
      </c>
      <c r="C4" s="161" t="s">
        <v>171</v>
      </c>
      <c r="D4" s="162" t="s">
        <v>172</v>
      </c>
      <c r="E4" s="144">
        <v>46184.625</v>
      </c>
      <c r="F4" s="56">
        <f>$E4-VLOOKUP($G4,TimeZone!$L$4:$O$19,4,0)+VLOOKUP(TimeZone!$H$1,TimeZone!$C$4:$E$40,3,0)</f>
        <v>46184.875</v>
      </c>
      <c r="G4" s="154">
        <v>14</v>
      </c>
      <c r="H4" s="86" t="str">
        <f>VLOOKUP($G4,Language!$D$103:$E$118,2,0)</f>
        <v>Mexico City</v>
      </c>
      <c r="I4" s="86" t="str">
        <f>VLOOKUP(C4,Groups!$B$7:$D$65,3,0)</f>
        <v>Mexico</v>
      </c>
      <c r="J4" s="86" t="str">
        <f>VLOOKUP(D4,Groups!$B$7:$D$65,3,0)</f>
        <v>Zuid-Afrika</v>
      </c>
      <c r="K4" s="79"/>
      <c r="N4" s="72"/>
    </row>
    <row r="5" spans="1:14">
      <c r="B5" s="163">
        <v>2</v>
      </c>
      <c r="C5" s="161" t="s">
        <v>173</v>
      </c>
      <c r="D5" s="162" t="s">
        <v>1044</v>
      </c>
      <c r="E5" s="144">
        <v>46184.916666666664</v>
      </c>
      <c r="F5" s="56">
        <f>$E5-VLOOKUP($G5,TimeZone!$L$4:$O$19,4,0)+VLOOKUP(TimeZone!$H$1,TimeZone!$C$4:$E$40,3,0)</f>
        <v>46185.166666666664</v>
      </c>
      <c r="G5" s="156">
        <v>15</v>
      </c>
      <c r="H5" s="86" t="str">
        <f>VLOOKUP($G5,Language!$D$103:$E$118,2,0)</f>
        <v>Guadalajara</v>
      </c>
      <c r="I5" s="86" t="str">
        <f>VLOOKUP(C5,Groups!$B$7:$D$65,3,0)</f>
        <v>Rep. Korea</v>
      </c>
      <c r="J5" s="86" t="str">
        <f>VLOOKUP(D5,Groups!$B$7:$D$65,3,0)</f>
        <v>Tsjechië</v>
      </c>
      <c r="K5" s="79"/>
    </row>
    <row r="6" spans="1:14">
      <c r="B6" s="163">
        <v>3</v>
      </c>
      <c r="C6" s="161" t="s">
        <v>174</v>
      </c>
      <c r="D6" s="162" t="s">
        <v>175</v>
      </c>
      <c r="E6" s="144">
        <v>46185.625</v>
      </c>
      <c r="F6" s="56">
        <f>$E6-VLOOKUP($G6,TimeZone!$L$4:$O$19,4,0)+VLOOKUP(TimeZone!$H$1,TimeZone!$C$4:$E$40,3,0)</f>
        <v>46185.875</v>
      </c>
      <c r="G6" s="156">
        <v>2</v>
      </c>
      <c r="H6" s="86" t="str">
        <f>VLOOKUP($G6,Language!$D$103:$E$118,2,0)</f>
        <v>Toronto</v>
      </c>
      <c r="I6" s="86" t="str">
        <f>VLOOKUP(C6,Groups!$B$7:$D$65,3,0)</f>
        <v>Canada</v>
      </c>
      <c r="J6" s="86" t="str">
        <f>VLOOKUP(D6,Groups!$B$7:$D$65,3,0)</f>
        <v>Bosnië/Herzeg.</v>
      </c>
      <c r="K6" s="79"/>
    </row>
    <row r="7" spans="1:14">
      <c r="B7" s="163">
        <v>4</v>
      </c>
      <c r="C7" s="161" t="s">
        <v>180</v>
      </c>
      <c r="D7" s="162" t="s">
        <v>181</v>
      </c>
      <c r="E7" s="144">
        <v>46185.875</v>
      </c>
      <c r="F7" s="56">
        <f>$E7-VLOOKUP($G7,TimeZone!$L$4:$O$19,4,0)+VLOOKUP(TimeZone!$H$1,TimeZone!$C$4:$E$40,3,0)</f>
        <v>46186.125</v>
      </c>
      <c r="G7" s="156">
        <v>8</v>
      </c>
      <c r="H7" s="86" t="str">
        <f>VLOOKUP($G7,Language!$D$103:$E$118,2,0)</f>
        <v>Los Angeles</v>
      </c>
      <c r="I7" s="86" t="str">
        <f>VLOOKUP(C7,Groups!$B$7:$D$65,3,0)</f>
        <v>USA</v>
      </c>
      <c r="J7" s="86" t="str">
        <f>VLOOKUP(D7,Groups!$B$7:$D$65,3,0)</f>
        <v>Paraguay</v>
      </c>
      <c r="K7" s="79"/>
    </row>
    <row r="8" spans="1:14">
      <c r="B8" s="163">
        <v>5</v>
      </c>
      <c r="C8" s="161" t="s">
        <v>179</v>
      </c>
      <c r="D8" s="162" t="s">
        <v>1046</v>
      </c>
      <c r="E8" s="144">
        <v>46186.875</v>
      </c>
      <c r="F8" s="56">
        <f>$E8-VLOOKUP($G8,TimeZone!$L$4:$O$19,4,0)+VLOOKUP(TimeZone!$H$1,TimeZone!$C$4:$E$40,3,0)</f>
        <v>46187.125</v>
      </c>
      <c r="G8" s="156">
        <v>12</v>
      </c>
      <c r="H8" s="86" t="str">
        <f>VLOOKUP($G8,Language!$D$103:$E$118,2,0)</f>
        <v>Boston</v>
      </c>
      <c r="I8" s="86" t="str">
        <f>VLOOKUP(C8,Groups!$B$7:$D$65,3,0)</f>
        <v>Haïti</v>
      </c>
      <c r="J8" s="86" t="str">
        <f>VLOOKUP(D8,Groups!$B$7:$D$65,3,0)</f>
        <v>Schotland</v>
      </c>
      <c r="K8" s="79"/>
    </row>
    <row r="9" spans="1:14">
      <c r="B9" s="163">
        <v>6</v>
      </c>
      <c r="C9" s="161" t="s">
        <v>182</v>
      </c>
      <c r="D9" s="162" t="s">
        <v>1047</v>
      </c>
      <c r="E9" s="144">
        <v>46187</v>
      </c>
      <c r="F9" s="56">
        <f>$E9-VLOOKUP($G9,TimeZone!$L$4:$O$19,4,0)+VLOOKUP(TimeZone!$H$1,TimeZone!$C$4:$E$40,3,0)</f>
        <v>46187.25</v>
      </c>
      <c r="G9" s="156">
        <v>1</v>
      </c>
      <c r="H9" s="86" t="str">
        <f>VLOOKUP($G9,Language!$D$103:$E$118,2,0)</f>
        <v>Vancouver</v>
      </c>
      <c r="I9" s="86" t="str">
        <f>VLOOKUP(C9,Groups!$B$7:$D$65,3,0)</f>
        <v>Australië</v>
      </c>
      <c r="J9" s="86" t="str">
        <f>VLOOKUP(D9,Groups!$B$7:$D$65,3,0)</f>
        <v>Turkije</v>
      </c>
      <c r="K9" s="79"/>
    </row>
    <row r="10" spans="1:14">
      <c r="B10" s="163">
        <v>7</v>
      </c>
      <c r="C10" s="161" t="s">
        <v>177</v>
      </c>
      <c r="D10" s="162" t="s">
        <v>178</v>
      </c>
      <c r="E10" s="144">
        <v>46186.75</v>
      </c>
      <c r="F10" s="56">
        <f>$E10-VLOOKUP($G10,TimeZone!$L$4:$O$19,4,0)+VLOOKUP(TimeZone!$H$1,TimeZone!$C$4:$E$40,3,0)</f>
        <v>46187</v>
      </c>
      <c r="G10" s="156">
        <v>3</v>
      </c>
      <c r="H10" s="86" t="str">
        <f>VLOOKUP($G10,Language!$D$103:$E$118,2,0)</f>
        <v>New York/New Jersey</v>
      </c>
      <c r="I10" s="86" t="str">
        <f>VLOOKUP(C10,Groups!$B$7:$D$65,3,0)</f>
        <v>Brazilië</v>
      </c>
      <c r="J10" s="86" t="str">
        <f>VLOOKUP(D10,Groups!$B$7:$D$65,3,0)</f>
        <v>Marokko</v>
      </c>
      <c r="K10" s="79"/>
    </row>
    <row r="11" spans="1:14">
      <c r="B11" s="163">
        <v>8</v>
      </c>
      <c r="C11" s="161" t="s">
        <v>176</v>
      </c>
      <c r="D11" s="162" t="s">
        <v>1045</v>
      </c>
      <c r="E11" s="144">
        <v>46186.625</v>
      </c>
      <c r="F11" s="56">
        <f>$E11-VLOOKUP($G11,TimeZone!$L$4:$O$19,4,0)+VLOOKUP(TimeZone!$H$1,TimeZone!$C$4:$E$40,3,0)</f>
        <v>46186.875</v>
      </c>
      <c r="G11" s="156">
        <v>11</v>
      </c>
      <c r="H11" s="86" t="str">
        <f>VLOOKUP($G11,Language!$D$103:$E$118,2,0)</f>
        <v>San Francisco Bay Area</v>
      </c>
      <c r="I11" s="86" t="str">
        <f>VLOOKUP(C11,Groups!$B$7:$D$65,3,0)</f>
        <v>Qatar</v>
      </c>
      <c r="J11" s="86" t="str">
        <f>VLOOKUP(D11,Groups!$B$7:$D$65,3,0)</f>
        <v>Zwitserland</v>
      </c>
      <c r="K11" s="79"/>
    </row>
    <row r="12" spans="1:14">
      <c r="B12" s="163">
        <v>9</v>
      </c>
      <c r="C12" s="161" t="s">
        <v>185</v>
      </c>
      <c r="D12" s="162" t="s">
        <v>1048</v>
      </c>
      <c r="E12" s="144">
        <v>46187.791666666664</v>
      </c>
      <c r="F12" s="56">
        <f>$E12-VLOOKUP($G12,TimeZone!$L$4:$O$19,4,0)+VLOOKUP(TimeZone!$H$1,TimeZone!$C$4:$E$40,3,0)</f>
        <v>46188.041666666664</v>
      </c>
      <c r="G12" s="156">
        <v>9</v>
      </c>
      <c r="H12" s="86" t="str">
        <f>VLOOKUP($G12,Language!$D$103:$E$118,2,0)</f>
        <v>Philadelphia</v>
      </c>
      <c r="I12" s="86" t="str">
        <f>VLOOKUP(C12,Groups!$B$7:$D$65,3,0)</f>
        <v>Ivoorkust</v>
      </c>
      <c r="J12" s="86" t="str">
        <f>VLOOKUP(D12,Groups!$B$7:$D$65,3,0)</f>
        <v>Ecuador</v>
      </c>
      <c r="K12" s="79"/>
    </row>
    <row r="13" spans="1:14">
      <c r="B13" s="163">
        <v>10</v>
      </c>
      <c r="C13" s="161" t="s">
        <v>183</v>
      </c>
      <c r="D13" s="162" t="s">
        <v>184</v>
      </c>
      <c r="E13" s="144">
        <v>46187.541666666664</v>
      </c>
      <c r="F13" s="56">
        <f>$E13-VLOOKUP($G13,TimeZone!$L$4:$O$19,4,0)+VLOOKUP(TimeZone!$H$1,TimeZone!$C$4:$E$40,3,0)</f>
        <v>46187.791666666664</v>
      </c>
      <c r="G13" s="156">
        <v>6</v>
      </c>
      <c r="H13" s="86" t="str">
        <f>VLOOKUP($G13,Language!$D$103:$E$118,2,0)</f>
        <v>Houston</v>
      </c>
      <c r="I13" s="86" t="str">
        <f>VLOOKUP(C13,Groups!$B$7:$D$65,3,0)</f>
        <v>Duitsland</v>
      </c>
      <c r="J13" s="86" t="str">
        <f>VLOOKUP(D13,Groups!$B$7:$D$65,3,0)</f>
        <v>Curacao</v>
      </c>
      <c r="K13" s="79"/>
    </row>
    <row r="14" spans="1:14">
      <c r="B14" s="163">
        <v>11</v>
      </c>
      <c r="C14" s="161" t="s">
        <v>266</v>
      </c>
      <c r="D14" s="162" t="s">
        <v>267</v>
      </c>
      <c r="E14" s="144">
        <v>46187.666666666664</v>
      </c>
      <c r="F14" s="56">
        <f>$E14-VLOOKUP($G14,TimeZone!$L$4:$O$19,4,0)+VLOOKUP(TimeZone!$H$1,TimeZone!$C$4:$E$40,3,0)</f>
        <v>46187.916666666664</v>
      </c>
      <c r="G14" s="156">
        <v>5</v>
      </c>
      <c r="H14" s="86" t="str">
        <f>VLOOKUP($G14,Language!$D$103:$E$118,2,0)</f>
        <v>Dallas</v>
      </c>
      <c r="I14" s="86" t="str">
        <f>VLOOKUP(C14,Groups!$B$7:$D$65,3,0)</f>
        <v>Nederland</v>
      </c>
      <c r="J14" s="86" t="str">
        <f>VLOOKUP(D14,Groups!$B$7:$D$65,3,0)</f>
        <v>Japan</v>
      </c>
      <c r="K14" s="79"/>
    </row>
    <row r="15" spans="1:14">
      <c r="B15" s="163">
        <v>12</v>
      </c>
      <c r="C15" s="161" t="s">
        <v>268</v>
      </c>
      <c r="D15" s="162" t="s">
        <v>1049</v>
      </c>
      <c r="E15" s="144">
        <v>46187.916666666664</v>
      </c>
      <c r="F15" s="56">
        <f>$E15-VLOOKUP($G15,TimeZone!$L$4:$O$19,4,0)+VLOOKUP(TimeZone!$H$1,TimeZone!$C$4:$E$40,3,0)</f>
        <v>46188.166666666664</v>
      </c>
      <c r="G15" s="156">
        <v>16</v>
      </c>
      <c r="H15" s="86" t="str">
        <f>VLOOKUP($G15,Language!$D$103:$E$118,2,0)</f>
        <v>Monterrey</v>
      </c>
      <c r="I15" s="86" t="str">
        <f>VLOOKUP(C15,Groups!$B$7:$D$65,3,0)</f>
        <v>Zweden</v>
      </c>
      <c r="J15" s="86" t="str">
        <f>VLOOKUP(D15,Groups!$B$7:$D$65,3,0)</f>
        <v>Tunesië</v>
      </c>
      <c r="K15" s="79"/>
    </row>
    <row r="16" spans="1:14">
      <c r="B16" s="163">
        <v>13</v>
      </c>
      <c r="C16" s="161" t="s">
        <v>271</v>
      </c>
      <c r="D16" s="162" t="s">
        <v>1051</v>
      </c>
      <c r="E16" s="144">
        <v>46188.75</v>
      </c>
      <c r="F16" s="56">
        <f>$E16-VLOOKUP($G16,TimeZone!$L$4:$O$19,4,0)+VLOOKUP(TimeZone!$H$1,TimeZone!$C$4:$E$40,3,0)</f>
        <v>46189</v>
      </c>
      <c r="G16" s="156">
        <v>13</v>
      </c>
      <c r="H16" s="86" t="str">
        <f>VLOOKUP($G16,Language!$D$103:$E$118,2,0)</f>
        <v>Miami</v>
      </c>
      <c r="I16" s="86" t="str">
        <f>VLOOKUP(C16,Groups!$B$7:$D$65,3,0)</f>
        <v>Saoedi-Arabië</v>
      </c>
      <c r="J16" s="86" t="str">
        <f>VLOOKUP(D16,Groups!$B$7:$D$65,3,0)</f>
        <v>Uruguay</v>
      </c>
      <c r="K16" s="79"/>
    </row>
    <row r="17" spans="2:11">
      <c r="B17" s="163">
        <v>14</v>
      </c>
      <c r="C17" s="161" t="s">
        <v>269</v>
      </c>
      <c r="D17" s="162" t="s">
        <v>270</v>
      </c>
      <c r="E17" s="144">
        <v>46188.5</v>
      </c>
      <c r="F17" s="56">
        <f>$E17-VLOOKUP($G17,TimeZone!$L$4:$O$19,4,0)+VLOOKUP(TimeZone!$H$1,TimeZone!$C$4:$E$40,3,0)</f>
        <v>46188.75</v>
      </c>
      <c r="G17" s="156">
        <v>7</v>
      </c>
      <c r="H17" s="86" t="str">
        <f>VLOOKUP($G17,Language!$D$103:$E$118,2,0)</f>
        <v>Atlanta</v>
      </c>
      <c r="I17" s="86" t="str">
        <f>VLOOKUP(C17,Groups!$B$7:$D$65,3,0)</f>
        <v>Spanje</v>
      </c>
      <c r="J17" s="86" t="str">
        <f>VLOOKUP(D17,Groups!$B$7:$D$65,3,0)</f>
        <v>Kaapverdië</v>
      </c>
      <c r="K17" s="79"/>
    </row>
    <row r="18" spans="2:11">
      <c r="B18" s="163">
        <v>15</v>
      </c>
      <c r="C18" s="161" t="s">
        <v>188</v>
      </c>
      <c r="D18" s="162" t="s">
        <v>1050</v>
      </c>
      <c r="E18" s="144">
        <v>46188.875</v>
      </c>
      <c r="F18" s="56">
        <f>$E18-VLOOKUP($G18,TimeZone!$L$4:$O$19,4,0)+VLOOKUP(TimeZone!$H$1,TimeZone!$C$4:$E$40,3,0)</f>
        <v>46189.125</v>
      </c>
      <c r="G18" s="156">
        <v>8</v>
      </c>
      <c r="H18" s="86" t="str">
        <f>VLOOKUP($G18,Language!$D$103:$E$118,2,0)</f>
        <v>Los Angeles</v>
      </c>
      <c r="I18" s="86" t="str">
        <f>VLOOKUP(C18,Groups!$B$7:$D$65,3,0)</f>
        <v>IR Iran</v>
      </c>
      <c r="J18" s="86" t="str">
        <f>VLOOKUP(D18,Groups!$B$7:$D$65,3,0)</f>
        <v>Nieuw-Zeeland</v>
      </c>
      <c r="K18" s="79"/>
    </row>
    <row r="19" spans="2:11">
      <c r="B19" s="163">
        <v>16</v>
      </c>
      <c r="C19" s="161" t="s">
        <v>186</v>
      </c>
      <c r="D19" s="162" t="s">
        <v>187</v>
      </c>
      <c r="E19" s="144">
        <v>46188.625</v>
      </c>
      <c r="F19" s="56">
        <f>$E19-VLOOKUP($G19,TimeZone!$L$4:$O$19,4,0)+VLOOKUP(TimeZone!$H$1,TimeZone!$C$4:$E$40,3,0)</f>
        <v>46188.875</v>
      </c>
      <c r="G19" s="156">
        <v>10</v>
      </c>
      <c r="H19" s="86" t="str">
        <f>VLOOKUP($G19,Language!$D$103:$E$118,2,0)</f>
        <v>Seattle</v>
      </c>
      <c r="I19" s="86" t="str">
        <f>VLOOKUP(C19,Groups!$B$7:$D$65,3,0)</f>
        <v>België</v>
      </c>
      <c r="J19" s="86" t="str">
        <f>VLOOKUP(D19,Groups!$B$7:$D$65,3,0)</f>
        <v>Egypte</v>
      </c>
      <c r="K19" s="79"/>
    </row>
    <row r="20" spans="2:11">
      <c r="B20" s="163">
        <v>17</v>
      </c>
      <c r="C20" s="161" t="s">
        <v>842</v>
      </c>
      <c r="D20" s="162" t="s">
        <v>843</v>
      </c>
      <c r="E20" s="144">
        <v>46189.625</v>
      </c>
      <c r="F20" s="56">
        <f>$E20-VLOOKUP($G20,TimeZone!$L$4:$O$19,4,0)+VLOOKUP(TimeZone!$H$1,TimeZone!$C$4:$E$40,3,0)</f>
        <v>46189.875</v>
      </c>
      <c r="G20" s="156">
        <v>3</v>
      </c>
      <c r="H20" s="86" t="str">
        <f>VLOOKUP($G20,Language!$D$103:$E$118,2,0)</f>
        <v>New York/New Jersey</v>
      </c>
      <c r="I20" s="86" t="str">
        <f>VLOOKUP(C20,Groups!$B$7:$D$65,3,0)</f>
        <v>Frankrijk</v>
      </c>
      <c r="J20" s="86" t="str">
        <f>VLOOKUP(D20,Groups!$B$7:$D$65,3,0)</f>
        <v>Senegal</v>
      </c>
      <c r="K20" s="79"/>
    </row>
    <row r="21" spans="2:11">
      <c r="B21" s="163">
        <v>18</v>
      </c>
      <c r="C21" s="161" t="s">
        <v>844</v>
      </c>
      <c r="D21" s="162" t="s">
        <v>1052</v>
      </c>
      <c r="E21" s="144">
        <v>46189.75</v>
      </c>
      <c r="F21" s="56">
        <f>$E21-VLOOKUP($G21,TimeZone!$L$4:$O$19,4,0)+VLOOKUP(TimeZone!$H$1,TimeZone!$C$4:$E$40,3,0)</f>
        <v>46190</v>
      </c>
      <c r="G21" s="156">
        <v>12</v>
      </c>
      <c r="H21" s="86" t="str">
        <f>VLOOKUP($G21,Language!$D$103:$E$118,2,0)</f>
        <v>Boston</v>
      </c>
      <c r="I21" s="86" t="str">
        <f>VLOOKUP(C21,Groups!$B$7:$D$65,3,0)</f>
        <v>Irak</v>
      </c>
      <c r="J21" s="86" t="str">
        <f>VLOOKUP(D21,Groups!$B$7:$D$65,3,0)</f>
        <v>Noorwegen</v>
      </c>
      <c r="K21" s="79"/>
    </row>
    <row r="22" spans="2:11">
      <c r="B22" s="163">
        <v>19</v>
      </c>
      <c r="C22" s="161" t="s">
        <v>845</v>
      </c>
      <c r="D22" s="162" t="s">
        <v>846</v>
      </c>
      <c r="E22" s="144">
        <v>46189.875</v>
      </c>
      <c r="F22" s="56">
        <f>$E22-VLOOKUP($G22,TimeZone!$L$4:$O$19,4,0)+VLOOKUP(TimeZone!$H$1,TimeZone!$C$4:$E$40,3,0)</f>
        <v>46190.125</v>
      </c>
      <c r="G22" s="156">
        <v>4</v>
      </c>
      <c r="H22" s="86" t="str">
        <f>VLOOKUP($G22,Language!$D$103:$E$118,2,0)</f>
        <v>Kansas City</v>
      </c>
      <c r="I22" s="86" t="str">
        <f>VLOOKUP(C22,Groups!$B$7:$D$65,3,0)</f>
        <v>Argentinië</v>
      </c>
      <c r="J22" s="86" t="str">
        <f>VLOOKUP(D22,Groups!$B$7:$D$65,3,0)</f>
        <v>Algerije</v>
      </c>
      <c r="K22" s="79"/>
    </row>
    <row r="23" spans="2:11">
      <c r="B23" s="163">
        <v>20</v>
      </c>
      <c r="C23" s="161" t="s">
        <v>847</v>
      </c>
      <c r="D23" s="162" t="s">
        <v>1053</v>
      </c>
      <c r="E23" s="144">
        <v>46190</v>
      </c>
      <c r="F23" s="56">
        <f>$E23-VLOOKUP($G23,TimeZone!$L$4:$O$19,4,0)+VLOOKUP(TimeZone!$H$1,TimeZone!$C$4:$E$40,3,0)</f>
        <v>46190.25</v>
      </c>
      <c r="G23" s="156">
        <v>11</v>
      </c>
      <c r="H23" s="86" t="str">
        <f>VLOOKUP($G23,Language!$D$103:$E$118,2,0)</f>
        <v>San Francisco Bay Area</v>
      </c>
      <c r="I23" s="86" t="str">
        <f>VLOOKUP(C23,Groups!$B$7:$D$65,3,0)</f>
        <v>Oostenrijk</v>
      </c>
      <c r="J23" s="86" t="str">
        <f>VLOOKUP(D23,Groups!$B$7:$D$65,3,0)</f>
        <v>Jordanië</v>
      </c>
      <c r="K23" s="79"/>
    </row>
    <row r="24" spans="2:11">
      <c r="B24" s="163">
        <v>21</v>
      </c>
      <c r="C24" s="161" t="s">
        <v>853</v>
      </c>
      <c r="D24" s="162" t="s">
        <v>1055</v>
      </c>
      <c r="E24" s="144">
        <v>46190.791666666664</v>
      </c>
      <c r="F24" s="56">
        <f>$E24-VLOOKUP($G24,TimeZone!$L$4:$O$19,4,0)+VLOOKUP(TimeZone!$H$1,TimeZone!$C$4:$E$40,3,0)</f>
        <v>46191.041666666664</v>
      </c>
      <c r="G24" s="156">
        <v>2</v>
      </c>
      <c r="H24" s="86" t="str">
        <f>VLOOKUP($G24,Language!$D$103:$E$118,2,0)</f>
        <v>Toronto</v>
      </c>
      <c r="I24" s="86" t="str">
        <f>VLOOKUP(C24,Groups!$B$7:$D$65,3,0)</f>
        <v>Ghana</v>
      </c>
      <c r="J24" s="86" t="str">
        <f>VLOOKUP(D24,Groups!$B$7:$D$65,3,0)</f>
        <v>Panama</v>
      </c>
      <c r="K24" s="79"/>
    </row>
    <row r="25" spans="2:11">
      <c r="B25" s="163">
        <v>22</v>
      </c>
      <c r="C25" s="161" t="s">
        <v>851</v>
      </c>
      <c r="D25" s="162" t="s">
        <v>852</v>
      </c>
      <c r="E25" s="144">
        <v>46190.666666666664</v>
      </c>
      <c r="F25" s="56">
        <f>$E25-VLOOKUP($G25,TimeZone!$L$4:$O$19,4,0)+VLOOKUP(TimeZone!$H$1,TimeZone!$C$4:$E$40,3,0)</f>
        <v>46190.916666666664</v>
      </c>
      <c r="G25" s="156">
        <v>5</v>
      </c>
      <c r="H25" s="86" t="str">
        <f>VLOOKUP($G25,Language!$D$103:$E$118,2,0)</f>
        <v>Dallas</v>
      </c>
      <c r="I25" s="86" t="str">
        <f>VLOOKUP(C25,Groups!$B$7:$D$65,3,0)</f>
        <v>Engeland</v>
      </c>
      <c r="J25" s="86" t="str">
        <f>VLOOKUP(D25,Groups!$B$7:$D$65,3,0)</f>
        <v>Kroatië</v>
      </c>
      <c r="K25" s="79"/>
    </row>
    <row r="26" spans="2:11">
      <c r="B26" s="163">
        <v>23</v>
      </c>
      <c r="C26" s="161" t="s">
        <v>848</v>
      </c>
      <c r="D26" s="162" t="s">
        <v>849</v>
      </c>
      <c r="E26" s="144">
        <v>46190.541666666664</v>
      </c>
      <c r="F26" s="56">
        <f>$E26-VLOOKUP($G26,TimeZone!$L$4:$O$19,4,0)+VLOOKUP(TimeZone!$H$1,TimeZone!$C$4:$E$40,3,0)</f>
        <v>46190.791666666664</v>
      </c>
      <c r="G26" s="156">
        <v>6</v>
      </c>
      <c r="H26" s="86" t="str">
        <f>VLOOKUP($G26,Language!$D$103:$E$118,2,0)</f>
        <v>Houston</v>
      </c>
      <c r="I26" s="86" t="str">
        <f>VLOOKUP(C26,Groups!$B$7:$D$65,3,0)</f>
        <v>Portugal</v>
      </c>
      <c r="J26" s="86" t="str">
        <f>VLOOKUP(D26,Groups!$B$7:$D$65,3,0)</f>
        <v>DR Congo</v>
      </c>
      <c r="K26" s="79"/>
    </row>
    <row r="27" spans="2:11">
      <c r="B27" s="163">
        <v>24</v>
      </c>
      <c r="C27" s="161" t="s">
        <v>850</v>
      </c>
      <c r="D27" s="162" t="s">
        <v>1054</v>
      </c>
      <c r="E27" s="144">
        <v>46190.916666666664</v>
      </c>
      <c r="F27" s="56">
        <f>$E27-VLOOKUP($G27,TimeZone!$L$4:$O$19,4,0)+VLOOKUP(TimeZone!$H$1,TimeZone!$C$4:$E$40,3,0)</f>
        <v>46191.166666666664</v>
      </c>
      <c r="G27" s="154">
        <v>14</v>
      </c>
      <c r="H27" s="86" t="str">
        <f>VLOOKUP($G27,Language!$D$103:$E$118,2,0)</f>
        <v>Mexico City</v>
      </c>
      <c r="I27" s="86" t="str">
        <f>VLOOKUP(C27,Groups!$B$7:$D$65,3,0)</f>
        <v>Oezbekistan</v>
      </c>
      <c r="J27" s="86" t="str">
        <f>VLOOKUP(D27,Groups!$B$7:$D$65,3,0)</f>
        <v>Colombia</v>
      </c>
      <c r="K27" s="79"/>
    </row>
    <row r="28" spans="2:11">
      <c r="B28" s="163">
        <v>25</v>
      </c>
      <c r="C28" s="161" t="s">
        <v>1044</v>
      </c>
      <c r="D28" s="162" t="s">
        <v>172</v>
      </c>
      <c r="E28" s="144">
        <v>46191.5</v>
      </c>
      <c r="F28" s="56">
        <f>$E28-VLOOKUP($G28,TimeZone!$L$4:$O$19,4,0)+VLOOKUP(TimeZone!$H$1,TimeZone!$C$4:$E$40,3,0)</f>
        <v>46191.75</v>
      </c>
      <c r="G28" s="156">
        <v>7</v>
      </c>
      <c r="H28" s="86" t="str">
        <f>VLOOKUP($G28,Language!$D$103:$E$118,2,0)</f>
        <v>Atlanta</v>
      </c>
      <c r="I28" s="86" t="str">
        <f>VLOOKUP(C28,Groups!$B$7:$D$65,3,0)</f>
        <v>Tsjechië</v>
      </c>
      <c r="J28" s="86" t="str">
        <f>VLOOKUP(D28,Groups!$B$7:$D$65,3,0)</f>
        <v>Zuid-Afrika</v>
      </c>
      <c r="K28" s="79"/>
    </row>
    <row r="29" spans="2:11">
      <c r="B29" s="163">
        <v>26</v>
      </c>
      <c r="C29" s="161" t="s">
        <v>1045</v>
      </c>
      <c r="D29" s="162" t="s">
        <v>175</v>
      </c>
      <c r="E29" s="144">
        <v>46191.625</v>
      </c>
      <c r="F29" s="56">
        <f>$E29-VLOOKUP($G29,TimeZone!$L$4:$O$19,4,0)+VLOOKUP(TimeZone!$H$1,TimeZone!$C$4:$E$40,3,0)</f>
        <v>46191.875</v>
      </c>
      <c r="G29" s="156">
        <v>8</v>
      </c>
      <c r="H29" s="86" t="str">
        <f>VLOOKUP($G29,Language!$D$103:$E$118,2,0)</f>
        <v>Los Angeles</v>
      </c>
      <c r="I29" s="86" t="str">
        <f>VLOOKUP(C29,Groups!$B$7:$D$65,3,0)</f>
        <v>Zwitserland</v>
      </c>
      <c r="J29" s="86" t="str">
        <f>VLOOKUP(D29,Groups!$B$7:$D$65,3,0)</f>
        <v>Bosnië/Herzeg.</v>
      </c>
      <c r="K29" s="79"/>
    </row>
    <row r="30" spans="2:11">
      <c r="B30" s="163">
        <v>27</v>
      </c>
      <c r="C30" s="161" t="s">
        <v>174</v>
      </c>
      <c r="D30" s="162" t="s">
        <v>176</v>
      </c>
      <c r="E30" s="144">
        <v>46191.75</v>
      </c>
      <c r="F30" s="56">
        <f>$E30-VLOOKUP($G30,TimeZone!$L$4:$O$19,4,0)+VLOOKUP(TimeZone!$H$1,TimeZone!$C$4:$E$40,3,0)</f>
        <v>46192</v>
      </c>
      <c r="G30" s="156">
        <v>1</v>
      </c>
      <c r="H30" s="86" t="str">
        <f>VLOOKUP($G30,Language!$D$103:$E$118,2,0)</f>
        <v>Vancouver</v>
      </c>
      <c r="I30" s="86" t="str">
        <f>VLOOKUP(C30,Groups!$B$7:$D$65,3,0)</f>
        <v>Canada</v>
      </c>
      <c r="J30" s="86" t="str">
        <f>VLOOKUP(D30,Groups!$B$7:$D$65,3,0)</f>
        <v>Qatar</v>
      </c>
      <c r="K30" s="79"/>
    </row>
    <row r="31" spans="2:11">
      <c r="B31" s="163">
        <v>28</v>
      </c>
      <c r="C31" s="161" t="s">
        <v>171</v>
      </c>
      <c r="D31" s="162" t="s">
        <v>173</v>
      </c>
      <c r="E31" s="144">
        <v>46191.875</v>
      </c>
      <c r="F31" s="56">
        <f>$E31-VLOOKUP($G31,TimeZone!$L$4:$O$19,4,0)+VLOOKUP(TimeZone!$H$1,TimeZone!$C$4:$E$40,3,0)</f>
        <v>46192.125</v>
      </c>
      <c r="G31" s="156">
        <v>15</v>
      </c>
      <c r="H31" s="86" t="str">
        <f>VLOOKUP($G31,Language!$D$103:$E$118,2,0)</f>
        <v>Guadalajara</v>
      </c>
      <c r="I31" s="86" t="str">
        <f>VLOOKUP(C31,Groups!$B$7:$D$65,3,0)</f>
        <v>Mexico</v>
      </c>
      <c r="J31" s="86" t="str">
        <f>VLOOKUP(D31,Groups!$B$7:$D$65,3,0)</f>
        <v>Rep. Korea</v>
      </c>
      <c r="K31" s="79"/>
    </row>
    <row r="32" spans="2:11">
      <c r="B32" s="163">
        <v>29</v>
      </c>
      <c r="C32" s="161" t="s">
        <v>177</v>
      </c>
      <c r="D32" s="162" t="s">
        <v>179</v>
      </c>
      <c r="E32" s="144">
        <v>46192.854166666664</v>
      </c>
      <c r="F32" s="56">
        <f>$E32-VLOOKUP($G32,TimeZone!$L$4:$O$19,4,0)+VLOOKUP(TimeZone!$H$1,TimeZone!$C$4:$E$40,3,0)</f>
        <v>46193.104166666664</v>
      </c>
      <c r="G32" s="156">
        <v>9</v>
      </c>
      <c r="H32" s="86" t="str">
        <f>VLOOKUP($G32,Language!$D$103:$E$118,2,0)</f>
        <v>Philadelphia</v>
      </c>
      <c r="I32" s="86" t="str">
        <f>VLOOKUP(C32,Groups!$B$7:$D$65,3,0)</f>
        <v>Brazilië</v>
      </c>
      <c r="J32" s="86" t="str">
        <f>VLOOKUP(D32,Groups!$B$7:$D$65,3,0)</f>
        <v>Haïti</v>
      </c>
      <c r="K32" s="79"/>
    </row>
    <row r="33" spans="2:11">
      <c r="B33" s="163">
        <v>30</v>
      </c>
      <c r="C33" s="161" t="s">
        <v>1046</v>
      </c>
      <c r="D33" s="162" t="s">
        <v>178</v>
      </c>
      <c r="E33" s="144">
        <v>46192.75</v>
      </c>
      <c r="F33" s="56">
        <f>$E33-VLOOKUP($G33,TimeZone!$L$4:$O$19,4,0)+VLOOKUP(TimeZone!$H$1,TimeZone!$C$4:$E$40,3,0)</f>
        <v>46193</v>
      </c>
      <c r="G33" s="156">
        <v>12</v>
      </c>
      <c r="H33" s="86" t="str">
        <f>VLOOKUP($G33,Language!$D$103:$E$118,2,0)</f>
        <v>Boston</v>
      </c>
      <c r="I33" s="86" t="str">
        <f>VLOOKUP(C33,Groups!$B$7:$D$65,3,0)</f>
        <v>Schotland</v>
      </c>
      <c r="J33" s="86" t="str">
        <f>VLOOKUP(D33,Groups!$B$7:$D$65,3,0)</f>
        <v>Marokko</v>
      </c>
      <c r="K33" s="79"/>
    </row>
    <row r="34" spans="2:11">
      <c r="B34" s="163">
        <v>31</v>
      </c>
      <c r="C34" s="161" t="s">
        <v>1047</v>
      </c>
      <c r="D34" s="162" t="s">
        <v>181</v>
      </c>
      <c r="E34" s="144">
        <v>46192.958333333336</v>
      </c>
      <c r="F34" s="56">
        <f>$E34-VLOOKUP($G34,TimeZone!$L$4:$O$19,4,0)+VLOOKUP(TimeZone!$H$1,TimeZone!$C$4:$E$40,3,0)</f>
        <v>46193.208333333336</v>
      </c>
      <c r="G34" s="156">
        <v>11</v>
      </c>
      <c r="H34" s="86" t="str">
        <f>VLOOKUP($G34,Language!$D$103:$E$118,2,0)</f>
        <v>San Francisco Bay Area</v>
      </c>
      <c r="I34" s="86" t="str">
        <f>VLOOKUP(C34,Groups!$B$7:$D$65,3,0)</f>
        <v>Turkije</v>
      </c>
      <c r="J34" s="86" t="str">
        <f>VLOOKUP(D34,Groups!$B$7:$D$65,3,0)</f>
        <v>Paraguay</v>
      </c>
      <c r="K34" s="79"/>
    </row>
    <row r="35" spans="2:11">
      <c r="B35" s="163">
        <v>32</v>
      </c>
      <c r="C35" s="161" t="s">
        <v>180</v>
      </c>
      <c r="D35" s="162" t="s">
        <v>182</v>
      </c>
      <c r="E35" s="144">
        <v>46192.625</v>
      </c>
      <c r="F35" s="56">
        <f>$E35-VLOOKUP($G35,TimeZone!$L$4:$O$19,4,0)+VLOOKUP(TimeZone!$H$1,TimeZone!$C$4:$E$40,3,0)</f>
        <v>46192.875</v>
      </c>
      <c r="G35" s="156">
        <v>10</v>
      </c>
      <c r="H35" s="86" t="str">
        <f>VLOOKUP($G35,Language!$D$103:$E$118,2,0)</f>
        <v>Seattle</v>
      </c>
      <c r="I35" s="86" t="str">
        <f>VLOOKUP(C35,Groups!$B$7:$D$65,3,0)</f>
        <v>USA</v>
      </c>
      <c r="J35" s="86" t="str">
        <f>VLOOKUP(D35,Groups!$B$7:$D$65,3,0)</f>
        <v>Australië</v>
      </c>
      <c r="K35" s="79"/>
    </row>
    <row r="36" spans="2:11">
      <c r="B36" s="163">
        <v>33</v>
      </c>
      <c r="C36" s="161" t="s">
        <v>183</v>
      </c>
      <c r="D36" s="162" t="s">
        <v>185</v>
      </c>
      <c r="E36" s="144">
        <v>46193.666666666664</v>
      </c>
      <c r="F36" s="56">
        <f>$E36-VLOOKUP($G36,TimeZone!$L$4:$O$19,4,0)+VLOOKUP(TimeZone!$H$1,TimeZone!$C$4:$E$40,3,0)</f>
        <v>46193.916666666664</v>
      </c>
      <c r="G36" s="156">
        <v>2</v>
      </c>
      <c r="H36" s="86" t="str">
        <f>VLOOKUP($G36,Language!$D$103:$E$118,2,0)</f>
        <v>Toronto</v>
      </c>
      <c r="I36" s="86" t="str">
        <f>VLOOKUP(C36,Groups!$B$7:$D$65,3,0)</f>
        <v>Duitsland</v>
      </c>
      <c r="J36" s="86" t="str">
        <f>VLOOKUP(D36,Groups!$B$7:$D$65,3,0)</f>
        <v>Ivoorkust</v>
      </c>
      <c r="K36" s="79"/>
    </row>
    <row r="37" spans="2:11">
      <c r="B37" s="163">
        <v>34</v>
      </c>
      <c r="C37" s="161" t="s">
        <v>1048</v>
      </c>
      <c r="D37" s="162" t="s">
        <v>184</v>
      </c>
      <c r="E37" s="144">
        <v>46193.833333333336</v>
      </c>
      <c r="F37" s="56">
        <f>$E37-VLOOKUP($G37,TimeZone!$L$4:$O$19,4,0)+VLOOKUP(TimeZone!$H$1,TimeZone!$C$4:$E$40,3,0)</f>
        <v>46194.083333333336</v>
      </c>
      <c r="G37" s="156">
        <v>4</v>
      </c>
      <c r="H37" s="86" t="str">
        <f>VLOOKUP($G37,Language!$D$103:$E$118,2,0)</f>
        <v>Kansas City</v>
      </c>
      <c r="I37" s="86" t="str">
        <f>VLOOKUP(C37,Groups!$B$7:$D$65,3,0)</f>
        <v>Ecuador</v>
      </c>
      <c r="J37" s="86" t="str">
        <f>VLOOKUP(D37,Groups!$B$7:$D$65,3,0)</f>
        <v>Curacao</v>
      </c>
      <c r="K37" s="79"/>
    </row>
    <row r="38" spans="2:11">
      <c r="B38" s="163">
        <v>35</v>
      </c>
      <c r="C38" s="161" t="s">
        <v>266</v>
      </c>
      <c r="D38" s="162" t="s">
        <v>268</v>
      </c>
      <c r="E38" s="144">
        <v>46193.541666666664</v>
      </c>
      <c r="F38" s="56">
        <f>$E38-VLOOKUP($G38,TimeZone!$L$4:$O$19,4,0)+VLOOKUP(TimeZone!$H$1,TimeZone!$C$4:$E$40,3,0)</f>
        <v>46193.791666666664</v>
      </c>
      <c r="G38" s="156">
        <v>6</v>
      </c>
      <c r="H38" s="86" t="str">
        <f>VLOOKUP($G38,Language!$D$103:$E$118,2,0)</f>
        <v>Houston</v>
      </c>
      <c r="I38" s="86" t="str">
        <f>VLOOKUP(C38,Groups!$B$7:$D$65,3,0)</f>
        <v>Nederland</v>
      </c>
      <c r="J38" s="86" t="str">
        <f>VLOOKUP(D38,Groups!$B$7:$D$65,3,0)</f>
        <v>Zweden</v>
      </c>
      <c r="K38" s="79"/>
    </row>
    <row r="39" spans="2:11">
      <c r="B39" s="163">
        <v>36</v>
      </c>
      <c r="C39" s="161" t="s">
        <v>1049</v>
      </c>
      <c r="D39" s="162" t="s">
        <v>267</v>
      </c>
      <c r="E39" s="144">
        <v>46194</v>
      </c>
      <c r="F39" s="56">
        <f>$E39-VLOOKUP($G39,TimeZone!$L$4:$O$19,4,0)+VLOOKUP(TimeZone!$H$1,TimeZone!$C$4:$E$40,3,0)</f>
        <v>46194.25</v>
      </c>
      <c r="G39" s="156">
        <v>16</v>
      </c>
      <c r="H39" s="86" t="str">
        <f>VLOOKUP($G39,Language!$D$103:$E$118,2,0)</f>
        <v>Monterrey</v>
      </c>
      <c r="I39" s="86" t="str">
        <f>VLOOKUP(C39,Groups!$B$7:$D$65,3,0)</f>
        <v>Tunesië</v>
      </c>
      <c r="J39" s="86" t="str">
        <f>VLOOKUP(D39,Groups!$B$7:$D$65,3,0)</f>
        <v>Japan</v>
      </c>
      <c r="K39" s="79"/>
    </row>
    <row r="40" spans="2:11">
      <c r="B40" s="163">
        <v>37</v>
      </c>
      <c r="C40" s="161" t="s">
        <v>1051</v>
      </c>
      <c r="D40" s="162" t="s">
        <v>270</v>
      </c>
      <c r="E40" s="144">
        <v>46194.75</v>
      </c>
      <c r="F40" s="56">
        <f>$E40-VLOOKUP($G40,TimeZone!$L$4:$O$19,4,0)+VLOOKUP(TimeZone!$H$1,TimeZone!$C$4:$E$40,3,0)</f>
        <v>46195</v>
      </c>
      <c r="G40" s="156">
        <v>13</v>
      </c>
      <c r="H40" s="86" t="str">
        <f>VLOOKUP($G40,Language!$D$103:$E$118,2,0)</f>
        <v>Miami</v>
      </c>
      <c r="I40" s="86" t="str">
        <f>VLOOKUP(C40,Groups!$B$7:$D$65,3,0)</f>
        <v>Uruguay</v>
      </c>
      <c r="J40" s="86" t="str">
        <f>VLOOKUP(D40,Groups!$B$7:$D$65,3,0)</f>
        <v>Kaapverdië</v>
      </c>
      <c r="K40" s="79"/>
    </row>
    <row r="41" spans="2:11">
      <c r="B41" s="163">
        <v>38</v>
      </c>
      <c r="C41" s="161" t="s">
        <v>269</v>
      </c>
      <c r="D41" s="162" t="s">
        <v>271</v>
      </c>
      <c r="E41" s="144">
        <v>46194.5</v>
      </c>
      <c r="F41" s="56">
        <f>$E41-VLOOKUP($G41,TimeZone!$L$4:$O$19,4,0)+VLOOKUP(TimeZone!$H$1,TimeZone!$C$4:$E$40,3,0)</f>
        <v>46194.75</v>
      </c>
      <c r="G41" s="156">
        <v>7</v>
      </c>
      <c r="H41" s="86" t="str">
        <f>VLOOKUP($G41,Language!$D$103:$E$118,2,0)</f>
        <v>Atlanta</v>
      </c>
      <c r="I41" s="86" t="str">
        <f>VLOOKUP(C41,Groups!$B$7:$D$65,3,0)</f>
        <v>Spanje</v>
      </c>
      <c r="J41" s="86" t="str">
        <f>VLOOKUP(D41,Groups!$B$7:$D$65,3,0)</f>
        <v>Saoedi-Arabië</v>
      </c>
      <c r="K41" s="79"/>
    </row>
    <row r="42" spans="2:11">
      <c r="B42" s="163">
        <v>39</v>
      </c>
      <c r="C42" s="161" t="s">
        <v>186</v>
      </c>
      <c r="D42" s="162" t="s">
        <v>188</v>
      </c>
      <c r="E42" s="144">
        <v>46194.625</v>
      </c>
      <c r="F42" s="56">
        <f>$E42-VLOOKUP($G42,TimeZone!$L$4:$O$19,4,0)+VLOOKUP(TimeZone!$H$1,TimeZone!$C$4:$E$40,3,0)</f>
        <v>46194.875</v>
      </c>
      <c r="G42" s="156">
        <v>8</v>
      </c>
      <c r="H42" s="86" t="str">
        <f>VLOOKUP($G42,Language!$D$103:$E$118,2,0)</f>
        <v>Los Angeles</v>
      </c>
      <c r="I42" s="86" t="str">
        <f>VLOOKUP(C42,Groups!$B$7:$D$65,3,0)</f>
        <v>België</v>
      </c>
      <c r="J42" s="86" t="str">
        <f>VLOOKUP(D42,Groups!$B$7:$D$65,3,0)</f>
        <v>IR Iran</v>
      </c>
      <c r="K42" s="79"/>
    </row>
    <row r="43" spans="2:11">
      <c r="B43" s="163">
        <v>40</v>
      </c>
      <c r="C43" s="161" t="s">
        <v>1050</v>
      </c>
      <c r="D43" s="162" t="s">
        <v>187</v>
      </c>
      <c r="E43" s="144">
        <v>46194.875</v>
      </c>
      <c r="F43" s="56">
        <f>$E43-VLOOKUP($G43,TimeZone!$L$4:$O$19,4,0)+VLOOKUP(TimeZone!$H$1,TimeZone!$C$4:$E$40,3,0)</f>
        <v>46195.125</v>
      </c>
      <c r="G43" s="156">
        <v>1</v>
      </c>
      <c r="H43" s="86" t="str">
        <f>VLOOKUP($G43,Language!$D$103:$E$118,2,0)</f>
        <v>Vancouver</v>
      </c>
      <c r="I43" s="86" t="str">
        <f>VLOOKUP(C43,Groups!$B$7:$D$65,3,0)</f>
        <v>Nieuw-Zeeland</v>
      </c>
      <c r="J43" s="86" t="str">
        <f>VLOOKUP(D43,Groups!$B$7:$D$65,3,0)</f>
        <v>Egypte</v>
      </c>
      <c r="K43" s="79"/>
    </row>
    <row r="44" spans="2:11">
      <c r="B44" s="163">
        <v>41</v>
      </c>
      <c r="C44" s="161" t="s">
        <v>1052</v>
      </c>
      <c r="D44" s="162" t="s">
        <v>843</v>
      </c>
      <c r="E44" s="144">
        <v>46195.833333333336</v>
      </c>
      <c r="F44" s="56">
        <f>$E44-VLOOKUP($G44,TimeZone!$L$4:$O$19,4,0)+VLOOKUP(TimeZone!$H$1,TimeZone!$C$4:$E$40,3,0)</f>
        <v>46196.083333333336</v>
      </c>
      <c r="G44" s="156">
        <v>3</v>
      </c>
      <c r="H44" s="86" t="str">
        <f>VLOOKUP($G44,Language!$D$103:$E$118,2,0)</f>
        <v>New York/New Jersey</v>
      </c>
      <c r="I44" s="86" t="str">
        <f>VLOOKUP(C44,Groups!$B$7:$D$65,3,0)</f>
        <v>Noorwegen</v>
      </c>
      <c r="J44" s="86" t="str">
        <f>VLOOKUP(D44,Groups!$B$7:$D$65,3,0)</f>
        <v>Senegal</v>
      </c>
      <c r="K44" s="79"/>
    </row>
    <row r="45" spans="2:11">
      <c r="B45" s="163">
        <v>42</v>
      </c>
      <c r="C45" s="161" t="s">
        <v>842</v>
      </c>
      <c r="D45" s="162" t="s">
        <v>844</v>
      </c>
      <c r="E45" s="144">
        <v>46195.708333333336</v>
      </c>
      <c r="F45" s="56">
        <f>$E45-VLOOKUP($G45,TimeZone!$L$4:$O$19,4,0)+VLOOKUP(TimeZone!$H$1,TimeZone!$C$4:$E$40,3,0)</f>
        <v>46195.958333333336</v>
      </c>
      <c r="G45" s="156">
        <v>9</v>
      </c>
      <c r="H45" s="86" t="str">
        <f>VLOOKUP($G45,Language!$D$103:$E$118,2,0)</f>
        <v>Philadelphia</v>
      </c>
      <c r="I45" s="86" t="str">
        <f>VLOOKUP(C45,Groups!$B$7:$D$65,3,0)</f>
        <v>Frankrijk</v>
      </c>
      <c r="J45" s="86" t="str">
        <f>VLOOKUP(D45,Groups!$B$7:$D$65,3,0)</f>
        <v>Irak</v>
      </c>
      <c r="K45" s="79"/>
    </row>
    <row r="46" spans="2:11">
      <c r="B46" s="163">
        <v>43</v>
      </c>
      <c r="C46" s="161" t="s">
        <v>845</v>
      </c>
      <c r="D46" s="162" t="s">
        <v>847</v>
      </c>
      <c r="E46" s="144">
        <v>46195.541666666664</v>
      </c>
      <c r="F46" s="56">
        <f>$E46-VLOOKUP($G46,TimeZone!$L$4:$O$19,4,0)+VLOOKUP(TimeZone!$H$1,TimeZone!$C$4:$E$40,3,0)</f>
        <v>46195.791666666664</v>
      </c>
      <c r="G46" s="156">
        <v>5</v>
      </c>
      <c r="H46" s="86" t="str">
        <f>VLOOKUP($G46,Language!$D$103:$E$118,2,0)</f>
        <v>Dallas</v>
      </c>
      <c r="I46" s="86" t="str">
        <f>VLOOKUP(C46,Groups!$B$7:$D$65,3,0)</f>
        <v>Argentinië</v>
      </c>
      <c r="J46" s="86" t="str">
        <f>VLOOKUP(D46,Groups!$B$7:$D$65,3,0)</f>
        <v>Oostenrijk</v>
      </c>
      <c r="K46" s="79"/>
    </row>
    <row r="47" spans="2:11">
      <c r="B47" s="163">
        <v>44</v>
      </c>
      <c r="C47" s="161" t="s">
        <v>1053</v>
      </c>
      <c r="D47" s="162" t="s">
        <v>846</v>
      </c>
      <c r="E47" s="144">
        <v>46195.958333333336</v>
      </c>
      <c r="F47" s="56">
        <f>$E47-VLOOKUP($G47,TimeZone!$L$4:$O$19,4,0)+VLOOKUP(TimeZone!$H$1,TimeZone!$C$4:$E$40,3,0)</f>
        <v>46196.208333333336</v>
      </c>
      <c r="G47" s="156">
        <v>11</v>
      </c>
      <c r="H47" s="86" t="str">
        <f>VLOOKUP($G47,Language!$D$103:$E$118,2,0)</f>
        <v>San Francisco Bay Area</v>
      </c>
      <c r="I47" s="86" t="str">
        <f>VLOOKUP(C47,Groups!$B$7:$D$65,3,0)</f>
        <v>Jordanië</v>
      </c>
      <c r="J47" s="86" t="str">
        <f>VLOOKUP(D47,Groups!$B$7:$D$65,3,0)</f>
        <v>Algerije</v>
      </c>
      <c r="K47" s="79"/>
    </row>
    <row r="48" spans="2:11">
      <c r="B48" s="163">
        <v>45</v>
      </c>
      <c r="C48" s="161" t="s">
        <v>851</v>
      </c>
      <c r="D48" s="162" t="s">
        <v>853</v>
      </c>
      <c r="E48" s="144">
        <v>46196.666666666664</v>
      </c>
      <c r="F48" s="56">
        <f>$E48-VLOOKUP($G48,TimeZone!$L$4:$O$19,4,0)+VLOOKUP(TimeZone!$H$1,TimeZone!$C$4:$E$40,3,0)</f>
        <v>46196.916666666664</v>
      </c>
      <c r="G48" s="156">
        <v>12</v>
      </c>
      <c r="H48" s="86" t="str">
        <f>VLOOKUP($G48,Language!$D$103:$E$118,2,0)</f>
        <v>Boston</v>
      </c>
      <c r="I48" s="86" t="str">
        <f>VLOOKUP(C48,Groups!$B$7:$D$65,3,0)</f>
        <v>Engeland</v>
      </c>
      <c r="J48" s="86" t="str">
        <f>VLOOKUP(D48,Groups!$B$7:$D$65,3,0)</f>
        <v>Ghana</v>
      </c>
      <c r="K48" s="79"/>
    </row>
    <row r="49" spans="2:11">
      <c r="B49" s="163">
        <v>46</v>
      </c>
      <c r="C49" s="161" t="s">
        <v>1055</v>
      </c>
      <c r="D49" s="162" t="s">
        <v>852</v>
      </c>
      <c r="E49" s="144">
        <v>46196.791666666664</v>
      </c>
      <c r="F49" s="56">
        <f>$E49-VLOOKUP($G49,TimeZone!$L$4:$O$19,4,0)+VLOOKUP(TimeZone!$H$1,TimeZone!$C$4:$E$40,3,0)</f>
        <v>46197.041666666664</v>
      </c>
      <c r="G49" s="156">
        <v>2</v>
      </c>
      <c r="H49" s="86" t="str">
        <f>VLOOKUP($G49,Language!$D$103:$E$118,2,0)</f>
        <v>Toronto</v>
      </c>
      <c r="I49" s="86" t="str">
        <f>VLOOKUP(C49,Groups!$B$7:$D$65,3,0)</f>
        <v>Panama</v>
      </c>
      <c r="J49" s="86" t="str">
        <f>VLOOKUP(D49,Groups!$B$7:$D$65,3,0)</f>
        <v>Kroatië</v>
      </c>
      <c r="K49" s="79"/>
    </row>
    <row r="50" spans="2:11">
      <c r="B50" s="163">
        <v>47</v>
      </c>
      <c r="C50" s="161" t="s">
        <v>848</v>
      </c>
      <c r="D50" s="162" t="s">
        <v>850</v>
      </c>
      <c r="E50" s="144">
        <v>46196.541666666664</v>
      </c>
      <c r="F50" s="56">
        <f>$E50-VLOOKUP($G50,TimeZone!$L$4:$O$19,4,0)+VLOOKUP(TimeZone!$H$1,TimeZone!$C$4:$E$40,3,0)</f>
        <v>46196.791666666664</v>
      </c>
      <c r="G50" s="156">
        <v>6</v>
      </c>
      <c r="H50" s="86" t="str">
        <f>VLOOKUP($G50,Language!$D$103:$E$118,2,0)</f>
        <v>Houston</v>
      </c>
      <c r="I50" s="86" t="str">
        <f>VLOOKUP(C50,Groups!$B$7:$D$65,3,0)</f>
        <v>Portugal</v>
      </c>
      <c r="J50" s="86" t="str">
        <f>VLOOKUP(D50,Groups!$B$7:$D$65,3,0)</f>
        <v>Oezbekistan</v>
      </c>
      <c r="K50" s="79"/>
    </row>
    <row r="51" spans="2:11">
      <c r="B51" s="163">
        <v>48</v>
      </c>
      <c r="C51" s="161" t="s">
        <v>1054</v>
      </c>
      <c r="D51" s="162" t="s">
        <v>849</v>
      </c>
      <c r="E51" s="144">
        <v>46196.916666666664</v>
      </c>
      <c r="F51" s="56">
        <f>$E51-VLOOKUP($G51,TimeZone!$L$4:$O$19,4,0)+VLOOKUP(TimeZone!$H$1,TimeZone!$C$4:$E$40,3,0)</f>
        <v>46197.166666666664</v>
      </c>
      <c r="G51" s="156">
        <v>15</v>
      </c>
      <c r="H51" s="86" t="str">
        <f>VLOOKUP($G51,Language!$D$103:$E$118,2,0)</f>
        <v>Guadalajara</v>
      </c>
      <c r="I51" s="86" t="str">
        <f>VLOOKUP(C51,Groups!$B$7:$D$65,3,0)</f>
        <v>Colombia</v>
      </c>
      <c r="J51" s="86" t="str">
        <f>VLOOKUP(D51,Groups!$B$7:$D$65,3,0)</f>
        <v>DR Congo</v>
      </c>
      <c r="K51" s="79"/>
    </row>
    <row r="52" spans="2:11">
      <c r="B52" s="163">
        <v>49</v>
      </c>
      <c r="C52" s="161" t="s">
        <v>1046</v>
      </c>
      <c r="D52" s="162" t="s">
        <v>177</v>
      </c>
      <c r="E52" s="144">
        <v>46197.75</v>
      </c>
      <c r="F52" s="56">
        <f>$E52-VLOOKUP($G52,TimeZone!$L$4:$O$19,4,0)+VLOOKUP(TimeZone!$H$1,TimeZone!$C$4:$E$40,3,0)</f>
        <v>46198</v>
      </c>
      <c r="G52" s="156">
        <v>13</v>
      </c>
      <c r="H52" s="86" t="str">
        <f>VLOOKUP($G52,Language!$D$103:$E$118,2,0)</f>
        <v>Miami</v>
      </c>
      <c r="I52" s="86" t="str">
        <f>VLOOKUP(C52,Groups!$B$7:$D$65,3,0)</f>
        <v>Schotland</v>
      </c>
      <c r="J52" s="86" t="str">
        <f>VLOOKUP(D52,Groups!$B$7:$D$65,3,0)</f>
        <v>Brazilië</v>
      </c>
      <c r="K52" s="79"/>
    </row>
    <row r="53" spans="2:11">
      <c r="B53" s="163">
        <v>50</v>
      </c>
      <c r="C53" s="161" t="s">
        <v>178</v>
      </c>
      <c r="D53" s="162" t="s">
        <v>179</v>
      </c>
      <c r="E53" s="144">
        <v>46197.75</v>
      </c>
      <c r="F53" s="56">
        <f>$E53-VLOOKUP($G53,TimeZone!$L$4:$O$19,4,0)+VLOOKUP(TimeZone!$H$1,TimeZone!$C$4:$E$40,3,0)</f>
        <v>46198</v>
      </c>
      <c r="G53" s="156">
        <v>7</v>
      </c>
      <c r="H53" s="86" t="str">
        <f>VLOOKUP($G53,Language!$D$103:$E$118,2,0)</f>
        <v>Atlanta</v>
      </c>
      <c r="I53" s="86" t="str">
        <f>VLOOKUP(C53,Groups!$B$7:$D$65,3,0)</f>
        <v>Marokko</v>
      </c>
      <c r="J53" s="86" t="str">
        <f>VLOOKUP(D53,Groups!$B$7:$D$65,3,0)</f>
        <v>Haïti</v>
      </c>
      <c r="K53" s="79"/>
    </row>
    <row r="54" spans="2:11">
      <c r="B54" s="163">
        <v>51</v>
      </c>
      <c r="C54" s="161" t="s">
        <v>1045</v>
      </c>
      <c r="D54" s="162" t="s">
        <v>174</v>
      </c>
      <c r="E54" s="144">
        <v>46197.625</v>
      </c>
      <c r="F54" s="56">
        <f>$E54-VLOOKUP($G54,TimeZone!$L$4:$O$19,4,0)+VLOOKUP(TimeZone!$H$1,TimeZone!$C$4:$E$40,3,0)</f>
        <v>46197.875</v>
      </c>
      <c r="G54" s="156">
        <v>1</v>
      </c>
      <c r="H54" s="86" t="str">
        <f>VLOOKUP($G54,Language!$D$103:$E$118,2,0)</f>
        <v>Vancouver</v>
      </c>
      <c r="I54" s="86" t="str">
        <f>VLOOKUP(C54,Groups!$B$7:$D$65,3,0)</f>
        <v>Zwitserland</v>
      </c>
      <c r="J54" s="86" t="str">
        <f>VLOOKUP(D54,Groups!$B$7:$D$65,3,0)</f>
        <v>Canada</v>
      </c>
      <c r="K54" s="79"/>
    </row>
    <row r="55" spans="2:11">
      <c r="B55" s="163">
        <v>52</v>
      </c>
      <c r="C55" s="161" t="s">
        <v>175</v>
      </c>
      <c r="D55" s="162" t="s">
        <v>176</v>
      </c>
      <c r="E55" s="144">
        <v>46197.625</v>
      </c>
      <c r="F55" s="56">
        <f>$E55-VLOOKUP($G55,TimeZone!$L$4:$O$19,4,0)+VLOOKUP(TimeZone!$H$1,TimeZone!$C$4:$E$40,3,0)</f>
        <v>46197.875</v>
      </c>
      <c r="G55" s="156">
        <v>10</v>
      </c>
      <c r="H55" s="86" t="str">
        <f>VLOOKUP($G55,Language!$D$103:$E$118,2,0)</f>
        <v>Seattle</v>
      </c>
      <c r="I55" s="86" t="str">
        <f>VLOOKUP(C55,Groups!$B$7:$D$65,3,0)</f>
        <v>Bosnië/Herzeg.</v>
      </c>
      <c r="J55" s="86" t="str">
        <f>VLOOKUP(D55,Groups!$B$7:$D$65,3,0)</f>
        <v>Qatar</v>
      </c>
      <c r="K55" s="79"/>
    </row>
    <row r="56" spans="2:11">
      <c r="B56" s="163">
        <v>53</v>
      </c>
      <c r="C56" s="161" t="s">
        <v>1044</v>
      </c>
      <c r="D56" s="162" t="s">
        <v>171</v>
      </c>
      <c r="E56" s="144">
        <v>46197.875</v>
      </c>
      <c r="F56" s="56">
        <f>$E56-VLOOKUP($G56,TimeZone!$L$4:$O$19,4,0)+VLOOKUP(TimeZone!$H$1,TimeZone!$C$4:$E$40,3,0)</f>
        <v>46198.125</v>
      </c>
      <c r="G56" s="154">
        <v>14</v>
      </c>
      <c r="H56" s="86" t="str">
        <f>VLOOKUP($G56,Language!$D$103:$E$118,2,0)</f>
        <v>Mexico City</v>
      </c>
      <c r="I56" s="86" t="str">
        <f>VLOOKUP(C56,Groups!$B$7:$D$65,3,0)</f>
        <v>Tsjechië</v>
      </c>
      <c r="J56" s="86" t="str">
        <f>VLOOKUP(D56,Groups!$B$7:$D$65,3,0)</f>
        <v>Mexico</v>
      </c>
      <c r="K56" s="79"/>
    </row>
    <row r="57" spans="2:11">
      <c r="B57" s="163">
        <v>54</v>
      </c>
      <c r="C57" s="161" t="s">
        <v>172</v>
      </c>
      <c r="D57" s="162" t="s">
        <v>173</v>
      </c>
      <c r="E57" s="144">
        <v>46197.875</v>
      </c>
      <c r="F57" s="56">
        <f>$E57-VLOOKUP($G57,TimeZone!$L$4:$O$19,4,0)+VLOOKUP(TimeZone!$H$1,TimeZone!$C$4:$E$40,3,0)</f>
        <v>46198.125</v>
      </c>
      <c r="G57" s="156">
        <v>16</v>
      </c>
      <c r="H57" s="86" t="str">
        <f>VLOOKUP($G57,Language!$D$103:$E$118,2,0)</f>
        <v>Monterrey</v>
      </c>
      <c r="I57" s="86" t="str">
        <f>VLOOKUP(C57,Groups!$B$7:$D$65,3,0)</f>
        <v>Zuid-Afrika</v>
      </c>
      <c r="J57" s="86" t="str">
        <f>VLOOKUP(D57,Groups!$B$7:$D$65,3,0)</f>
        <v>Rep. Korea</v>
      </c>
      <c r="K57" s="79"/>
    </row>
    <row r="58" spans="2:11">
      <c r="B58" s="163">
        <v>55</v>
      </c>
      <c r="C58" s="161" t="s">
        <v>184</v>
      </c>
      <c r="D58" s="162" t="s">
        <v>185</v>
      </c>
      <c r="E58" s="144">
        <v>46198.666666666664</v>
      </c>
      <c r="F58" s="56">
        <f>$E58-VLOOKUP($G58,TimeZone!$L$4:$O$19,4,0)+VLOOKUP(TimeZone!$H$1,TimeZone!$C$4:$E$40,3,0)</f>
        <v>46198.916666666664</v>
      </c>
      <c r="G58" s="156">
        <v>9</v>
      </c>
      <c r="H58" s="86" t="str">
        <f>VLOOKUP($G58,Language!$D$103:$E$118,2,0)</f>
        <v>Philadelphia</v>
      </c>
      <c r="I58" s="86" t="str">
        <f>VLOOKUP(C58,Groups!$B$7:$D$65,3,0)</f>
        <v>Curacao</v>
      </c>
      <c r="J58" s="86" t="str">
        <f>VLOOKUP(D58,Groups!$B$7:$D$65,3,0)</f>
        <v>Ivoorkust</v>
      </c>
      <c r="K58" s="79"/>
    </row>
    <row r="59" spans="2:11">
      <c r="B59" s="163">
        <v>56</v>
      </c>
      <c r="C59" s="161" t="s">
        <v>1048</v>
      </c>
      <c r="D59" s="162" t="s">
        <v>183</v>
      </c>
      <c r="E59" s="144">
        <v>46198.666666666664</v>
      </c>
      <c r="F59" s="56">
        <f>$E59-VLOOKUP($G59,TimeZone!$L$4:$O$19,4,0)+VLOOKUP(TimeZone!$H$1,TimeZone!$C$4:$E$40,3,0)</f>
        <v>46198.916666666664</v>
      </c>
      <c r="G59" s="156">
        <v>3</v>
      </c>
      <c r="H59" s="86" t="str">
        <f>VLOOKUP($G59,Language!$D$103:$E$118,2,0)</f>
        <v>New York/New Jersey</v>
      </c>
      <c r="I59" s="86" t="str">
        <f>VLOOKUP(C59,Groups!$B$7:$D$65,3,0)</f>
        <v>Ecuador</v>
      </c>
      <c r="J59" s="86" t="str">
        <f>VLOOKUP(D59,Groups!$B$7:$D$65,3,0)</f>
        <v>Duitsland</v>
      </c>
      <c r="K59" s="79"/>
    </row>
    <row r="60" spans="2:11">
      <c r="B60" s="163">
        <v>57</v>
      </c>
      <c r="C60" s="161" t="s">
        <v>267</v>
      </c>
      <c r="D60" s="162" t="s">
        <v>268</v>
      </c>
      <c r="E60" s="144">
        <v>46198.791666666664</v>
      </c>
      <c r="F60" s="56">
        <f>$E60-VLOOKUP($G60,TimeZone!$L$4:$O$19,4,0)+VLOOKUP(TimeZone!$H$1,TimeZone!$C$4:$E$40,3,0)</f>
        <v>46199.041666666664</v>
      </c>
      <c r="G60" s="156">
        <v>5</v>
      </c>
      <c r="H60" s="86" t="str">
        <f>VLOOKUP($G60,Language!$D$103:$E$118,2,0)</f>
        <v>Dallas</v>
      </c>
      <c r="I60" s="86" t="str">
        <f>VLOOKUP(C60,Groups!$B$7:$D$65,3,0)</f>
        <v>Japan</v>
      </c>
      <c r="J60" s="86" t="str">
        <f>VLOOKUP(D60,Groups!$B$7:$D$65,3,0)</f>
        <v>Zweden</v>
      </c>
      <c r="K60" s="79"/>
    </row>
    <row r="61" spans="2:11">
      <c r="B61" s="163">
        <v>58</v>
      </c>
      <c r="C61" s="161" t="s">
        <v>1049</v>
      </c>
      <c r="D61" s="162" t="s">
        <v>266</v>
      </c>
      <c r="E61" s="144">
        <v>46198.791666666664</v>
      </c>
      <c r="F61" s="56">
        <f>$E61-VLOOKUP($G61,TimeZone!$L$4:$O$19,4,0)+VLOOKUP(TimeZone!$H$1,TimeZone!$C$4:$E$40,3,0)</f>
        <v>46199.041666666664</v>
      </c>
      <c r="G61" s="156">
        <v>4</v>
      </c>
      <c r="H61" s="86" t="str">
        <f>VLOOKUP($G61,Language!$D$103:$E$118,2,0)</f>
        <v>Kansas City</v>
      </c>
      <c r="I61" s="86" t="str">
        <f>VLOOKUP(C61,Groups!$B$7:$D$65,3,0)</f>
        <v>Tunesië</v>
      </c>
      <c r="J61" s="86" t="str">
        <f>VLOOKUP(D61,Groups!$B$7:$D$65,3,0)</f>
        <v>Nederland</v>
      </c>
      <c r="K61" s="79"/>
    </row>
    <row r="62" spans="2:11">
      <c r="B62" s="163">
        <v>59</v>
      </c>
      <c r="C62" s="161" t="s">
        <v>1047</v>
      </c>
      <c r="D62" s="162" t="s">
        <v>180</v>
      </c>
      <c r="E62" s="144">
        <v>46198.916666666664</v>
      </c>
      <c r="F62" s="56">
        <f>$E62-VLOOKUP($G62,TimeZone!$L$4:$O$19,4,0)+VLOOKUP(TimeZone!$H$1,TimeZone!$C$4:$E$40,3,0)</f>
        <v>46199.166666666664</v>
      </c>
      <c r="G62" s="156">
        <v>8</v>
      </c>
      <c r="H62" s="86" t="str">
        <f>VLOOKUP($G62,Language!$D$103:$E$118,2,0)</f>
        <v>Los Angeles</v>
      </c>
      <c r="I62" s="86" t="str">
        <f>VLOOKUP(C62,Groups!$B$7:$D$65,3,0)</f>
        <v>Turkije</v>
      </c>
      <c r="J62" s="86" t="str">
        <f>VLOOKUP(D62,Groups!$B$7:$D$65,3,0)</f>
        <v>USA</v>
      </c>
      <c r="K62" s="79"/>
    </row>
    <row r="63" spans="2:11">
      <c r="B63" s="163">
        <v>60</v>
      </c>
      <c r="C63" s="161" t="s">
        <v>181</v>
      </c>
      <c r="D63" s="162" t="s">
        <v>182</v>
      </c>
      <c r="E63" s="144">
        <v>46198.916666666664</v>
      </c>
      <c r="F63" s="56">
        <f>$E63-VLOOKUP($G63,TimeZone!$L$4:$O$19,4,0)+VLOOKUP(TimeZone!$H$1,TimeZone!$C$4:$E$40,3,0)</f>
        <v>46199.166666666664</v>
      </c>
      <c r="G63" s="156">
        <v>11</v>
      </c>
      <c r="H63" s="86" t="str">
        <f>VLOOKUP($G63,Language!$D$103:$E$118,2,0)</f>
        <v>San Francisco Bay Area</v>
      </c>
      <c r="I63" s="86" t="str">
        <f>VLOOKUP(C63,Groups!$B$7:$D$65,3,0)</f>
        <v>Paraguay</v>
      </c>
      <c r="J63" s="86" t="str">
        <f>VLOOKUP(D63,Groups!$B$7:$D$65,3,0)</f>
        <v>Australië</v>
      </c>
      <c r="K63" s="79"/>
    </row>
    <row r="64" spans="2:11">
      <c r="B64" s="163">
        <v>61</v>
      </c>
      <c r="C64" s="161" t="s">
        <v>1052</v>
      </c>
      <c r="D64" s="162" t="s">
        <v>842</v>
      </c>
      <c r="E64" s="144">
        <v>46199.625</v>
      </c>
      <c r="F64" s="56">
        <f>$E64-VLOOKUP($G64,TimeZone!$L$4:$O$19,4,0)+VLOOKUP(TimeZone!$H$1,TimeZone!$C$4:$E$40,3,0)</f>
        <v>46199.875</v>
      </c>
      <c r="G64" s="156">
        <v>12</v>
      </c>
      <c r="H64" s="86" t="str">
        <f>VLOOKUP($G64,Language!$D$103:$E$118,2,0)</f>
        <v>Boston</v>
      </c>
      <c r="I64" s="86" t="str">
        <f>VLOOKUP(C64,Groups!$B$7:$D$65,3,0)</f>
        <v>Noorwegen</v>
      </c>
      <c r="J64" s="86" t="str">
        <f>VLOOKUP(D64,Groups!$B$7:$D$65,3,0)</f>
        <v>Frankrijk</v>
      </c>
      <c r="K64" s="79"/>
    </row>
    <row r="65" spans="2:15">
      <c r="B65" s="163">
        <v>62</v>
      </c>
      <c r="C65" s="161" t="s">
        <v>843</v>
      </c>
      <c r="D65" s="162" t="s">
        <v>844</v>
      </c>
      <c r="E65" s="144">
        <v>46199.625</v>
      </c>
      <c r="F65" s="56">
        <f>$E65-VLOOKUP($G65,TimeZone!$L$4:$O$19,4,0)+VLOOKUP(TimeZone!$H$1,TimeZone!$C$4:$E$40,3,0)</f>
        <v>46199.875</v>
      </c>
      <c r="G65" s="156">
        <v>2</v>
      </c>
      <c r="H65" s="86" t="str">
        <f>VLOOKUP($G65,Language!$D$103:$E$118,2,0)</f>
        <v>Toronto</v>
      </c>
      <c r="I65" s="86" t="str">
        <f>VLOOKUP(C65,Groups!$B$7:$D$65,3,0)</f>
        <v>Senegal</v>
      </c>
      <c r="J65" s="86" t="str">
        <f>VLOOKUP(D65,Groups!$B$7:$D$65,3,0)</f>
        <v>Irak</v>
      </c>
      <c r="K65" s="79"/>
    </row>
    <row r="66" spans="2:15">
      <c r="B66" s="163">
        <v>63</v>
      </c>
      <c r="C66" s="161" t="s">
        <v>187</v>
      </c>
      <c r="D66" s="162" t="s">
        <v>188</v>
      </c>
      <c r="E66" s="144">
        <v>46199.958333333336</v>
      </c>
      <c r="F66" s="56">
        <f>$E66-VLOOKUP($G66,TimeZone!$L$4:$O$19,4,0)+VLOOKUP(TimeZone!$H$1,TimeZone!$C$4:$E$40,3,0)</f>
        <v>46200.208333333336</v>
      </c>
      <c r="G66" s="156">
        <v>10</v>
      </c>
      <c r="H66" s="86" t="str">
        <f>VLOOKUP($G66,Language!$D$103:$E$118,2,0)</f>
        <v>Seattle</v>
      </c>
      <c r="I66" s="86" t="str">
        <f>VLOOKUP(C66,Groups!$B$7:$D$65,3,0)</f>
        <v>Egypte</v>
      </c>
      <c r="J66" s="86" t="str">
        <f>VLOOKUP(D66,Groups!$B$7:$D$65,3,0)</f>
        <v>IR Iran</v>
      </c>
      <c r="K66" s="79"/>
    </row>
    <row r="67" spans="2:15">
      <c r="B67" s="163">
        <v>64</v>
      </c>
      <c r="C67" s="161" t="s">
        <v>1050</v>
      </c>
      <c r="D67" s="162" t="s">
        <v>186</v>
      </c>
      <c r="E67" s="144">
        <v>46199.958333333336</v>
      </c>
      <c r="F67" s="56">
        <f>$E67-VLOOKUP($G67,TimeZone!$L$4:$O$19,4,0)+VLOOKUP(TimeZone!$H$1,TimeZone!$C$4:$E$40,3,0)</f>
        <v>46200.208333333336</v>
      </c>
      <c r="G67" s="156">
        <v>1</v>
      </c>
      <c r="H67" s="86" t="str">
        <f>VLOOKUP($G67,Language!$D$103:$E$118,2,0)</f>
        <v>Vancouver</v>
      </c>
      <c r="I67" s="86" t="str">
        <f>VLOOKUP(C67,Groups!$B$7:$D$65,3,0)</f>
        <v>Nieuw-Zeeland</v>
      </c>
      <c r="J67" s="86" t="str">
        <f>VLOOKUP(D67,Groups!$B$7:$D$65,3,0)</f>
        <v>België</v>
      </c>
      <c r="K67" s="79"/>
    </row>
    <row r="68" spans="2:15" ht="15" thickBot="1">
      <c r="B68" s="163">
        <v>65</v>
      </c>
      <c r="C68" s="161" t="s">
        <v>270</v>
      </c>
      <c r="D68" s="162" t="s">
        <v>271</v>
      </c>
      <c r="E68" s="144">
        <v>46199.833333333336</v>
      </c>
      <c r="F68" s="56">
        <f>$E68-VLOOKUP($G68,TimeZone!$L$4:$O$19,4,0)+VLOOKUP(TimeZone!$H$1,TimeZone!$C$4:$E$40,3,0)</f>
        <v>46200.083333333336</v>
      </c>
      <c r="G68" s="156">
        <v>6</v>
      </c>
      <c r="H68" s="86" t="str">
        <f>VLOOKUP($G68,Language!$D$103:$E$118,2,0)</f>
        <v>Houston</v>
      </c>
      <c r="I68" s="86" t="str">
        <f>VLOOKUP(C68,Groups!$B$7:$D$65,3,0)</f>
        <v>Kaapverdië</v>
      </c>
      <c r="J68" s="86" t="str">
        <f>VLOOKUP(D68,Groups!$B$7:$D$65,3,0)</f>
        <v>Saoedi-Arabië</v>
      </c>
      <c r="K68" s="79"/>
      <c r="L68" s="514" t="s">
        <v>1710</v>
      </c>
      <c r="O68" s="514" t="s">
        <v>1109</v>
      </c>
    </row>
    <row r="69" spans="2:15">
      <c r="B69" s="163">
        <v>66</v>
      </c>
      <c r="C69" s="161" t="s">
        <v>1051</v>
      </c>
      <c r="D69" s="162" t="s">
        <v>269</v>
      </c>
      <c r="E69" s="144">
        <v>46199.833333333336</v>
      </c>
      <c r="F69" s="56">
        <f>$E69-VLOOKUP($G69,TimeZone!$L$4:$O$19,4,0)+VLOOKUP(TimeZone!$H$1,TimeZone!$C$4:$E$40,3,0)</f>
        <v>46200.083333333336</v>
      </c>
      <c r="G69" s="156">
        <v>15</v>
      </c>
      <c r="H69" s="86" t="str">
        <f>VLOOKUP($G69,Language!$D$103:$E$118,2,0)</f>
        <v>Guadalajara</v>
      </c>
      <c r="I69" s="86" t="str">
        <f>VLOOKUP(C69,Groups!$B$7:$D$65,3,0)</f>
        <v>Uruguay</v>
      </c>
      <c r="J69" s="86" t="str">
        <f>VLOOKUP(D69,Groups!$B$7:$D$65,3,0)</f>
        <v>Spanje</v>
      </c>
      <c r="K69" s="79"/>
      <c r="L69" s="525" t="b">
        <f>IFERROR(VLOOKUP(N69,Groups!$D$7:$E$65,2,0),FALSE)</f>
        <v>0</v>
      </c>
      <c r="M69" s="526" t="str">
        <f>M101</f>
        <v>3-CEFHI</v>
      </c>
      <c r="N69" s="527" t="str">
        <f>IF(Distinctness!$G$17&gt;0,INDEX(ThirdPlaced!$C$4:$C$15,MATCH(O69,ThirdPlaced!$I$4:$I$15),0),"")</f>
        <v/>
      </c>
      <c r="O69" s="528" t="str">
        <f>IFERROR(VLOOKUP(ThirdPlaced!$I$30,AssignThird!$C$8:$K$502,2,0),"")</f>
        <v/>
      </c>
    </row>
    <row r="70" spans="2:15">
      <c r="B70" s="163">
        <v>67</v>
      </c>
      <c r="C70" s="161" t="s">
        <v>1055</v>
      </c>
      <c r="D70" s="162" t="s">
        <v>851</v>
      </c>
      <c r="E70" s="144">
        <v>46200.708333333336</v>
      </c>
      <c r="F70" s="56">
        <f>$E70-VLOOKUP($G70,TimeZone!$L$4:$O$19,4,0)+VLOOKUP(TimeZone!$H$1,TimeZone!$C$4:$E$40,3,0)</f>
        <v>46200.958333333336</v>
      </c>
      <c r="G70" s="156">
        <v>3</v>
      </c>
      <c r="H70" s="86" t="str">
        <f>VLOOKUP($G70,Language!$D$103:$E$118,2,0)</f>
        <v>New York/New Jersey</v>
      </c>
      <c r="I70" s="86" t="str">
        <f>VLOOKUP(C70,Groups!$B$7:$D$65,3,0)</f>
        <v>Panama</v>
      </c>
      <c r="J70" s="86" t="str">
        <f>VLOOKUP(D70,Groups!$B$7:$D$65,3,0)</f>
        <v>Engeland</v>
      </c>
      <c r="K70" s="79"/>
      <c r="L70" s="529" t="b">
        <f>IFERROR(VLOOKUP(N70,Groups!$D$7:$E$65,2,0),FALSE)</f>
        <v>0</v>
      </c>
      <c r="M70" s="530" t="str">
        <f t="shared" ref="M70:M75" si="0">M102</f>
        <v>3-EFGIJ</v>
      </c>
      <c r="N70" s="531" t="str">
        <f>IF(Distinctness!$G$17&gt;0,INDEX(ThirdPlaced!$C$4:$C$15,MATCH(O70,ThirdPlaced!$I$4:$I$15),0),"")</f>
        <v/>
      </c>
      <c r="O70" s="532" t="str">
        <f>IFERROR(VLOOKUP(ThirdPlaced!$I$30,AssignThird!$C$8:$K$502,3,0),"")</f>
        <v/>
      </c>
    </row>
    <row r="71" spans="2:15">
      <c r="B71" s="163">
        <v>68</v>
      </c>
      <c r="C71" s="161" t="s">
        <v>852</v>
      </c>
      <c r="D71" s="162" t="s">
        <v>853</v>
      </c>
      <c r="E71" s="144">
        <v>46200.708333333336</v>
      </c>
      <c r="F71" s="56">
        <f>$E71-VLOOKUP($G71,TimeZone!$L$4:$O$19,4,0)+VLOOKUP(TimeZone!$H$1,TimeZone!$C$4:$E$40,3,0)</f>
        <v>46200.958333333336</v>
      </c>
      <c r="G71" s="156">
        <v>9</v>
      </c>
      <c r="H71" s="86" t="str">
        <f>VLOOKUP($G71,Language!$D$103:$E$118,2,0)</f>
        <v>Philadelphia</v>
      </c>
      <c r="I71" s="86" t="str">
        <f>VLOOKUP(C71,Groups!$B$7:$D$65,3,0)</f>
        <v>Kroatië</v>
      </c>
      <c r="J71" s="86" t="str">
        <f>VLOOKUP(D71,Groups!$B$7:$D$65,3,0)</f>
        <v>Ghana</v>
      </c>
      <c r="K71" s="79"/>
      <c r="L71" s="529" t="b">
        <f>IFERROR(VLOOKUP(N71,Groups!$D$7:$E$65,2,0),FALSE)</f>
        <v>0</v>
      </c>
      <c r="M71" s="530" t="str">
        <f t="shared" si="0"/>
        <v>3-BEFIJ</v>
      </c>
      <c r="N71" s="531" t="str">
        <f>IF(Distinctness!$G$17&gt;0,INDEX(ThirdPlaced!$C$4:$C$15,MATCH(O71,ThirdPlaced!$I$4:$I$15),0),"")</f>
        <v/>
      </c>
      <c r="O71" s="532" t="str">
        <f>IFERROR(VLOOKUP(ThirdPlaced!$I$30,AssignThird!$C$8:$K$502,4,0),"")</f>
        <v/>
      </c>
    </row>
    <row r="72" spans="2:15">
      <c r="B72" s="163">
        <v>69</v>
      </c>
      <c r="C72" s="161" t="s">
        <v>846</v>
      </c>
      <c r="D72" s="162" t="s">
        <v>847</v>
      </c>
      <c r="E72" s="144">
        <v>46200.916666666664</v>
      </c>
      <c r="F72" s="56">
        <f>$E72-VLOOKUP($G72,TimeZone!$L$4:$O$19,4,0)+VLOOKUP(TimeZone!$H$1,TimeZone!$C$4:$E$40,3,0)</f>
        <v>46201.166666666664</v>
      </c>
      <c r="G72" s="156">
        <v>4</v>
      </c>
      <c r="H72" s="86" t="str">
        <f>VLOOKUP($G72,Language!$D$103:$E$118,2,0)</f>
        <v>Kansas City</v>
      </c>
      <c r="I72" s="86" t="str">
        <f>VLOOKUP(C72,Groups!$B$7:$D$65,3,0)</f>
        <v>Algerije</v>
      </c>
      <c r="J72" s="86" t="str">
        <f>VLOOKUP(D72,Groups!$B$7:$D$65,3,0)</f>
        <v>Oostenrijk</v>
      </c>
      <c r="K72" s="79"/>
      <c r="L72" s="529" t="b">
        <f>IFERROR(VLOOKUP(N72,Groups!$D$7:$E$65,2,0),FALSE)</f>
        <v>0</v>
      </c>
      <c r="M72" s="530" t="str">
        <f t="shared" si="0"/>
        <v>3-ABCDF</v>
      </c>
      <c r="N72" s="531" t="str">
        <f>IF(Distinctness!$G$17&gt;0,INDEX(ThirdPlaced!$C$4:$C$15,MATCH(O72,ThirdPlaced!$I$4:$I$15),0),"")</f>
        <v/>
      </c>
      <c r="O72" s="532" t="str">
        <f>IFERROR(VLOOKUP(ThirdPlaced!$I$30,AssignThird!$C$8:$K$502,5,0),"")</f>
        <v/>
      </c>
    </row>
    <row r="73" spans="2:15">
      <c r="B73" s="163">
        <v>70</v>
      </c>
      <c r="C73" s="161" t="s">
        <v>1053</v>
      </c>
      <c r="D73" s="162" t="s">
        <v>845</v>
      </c>
      <c r="E73" s="144">
        <v>46200.916666666664</v>
      </c>
      <c r="F73" s="56">
        <f>$E73-VLOOKUP($G73,TimeZone!$L$4:$O$19,4,0)+VLOOKUP(TimeZone!$H$1,TimeZone!$C$4:$E$40,3,0)</f>
        <v>46201.166666666664</v>
      </c>
      <c r="G73" s="156">
        <v>5</v>
      </c>
      <c r="H73" s="86" t="str">
        <f>VLOOKUP($G73,Language!$D$103:$E$118,2,0)</f>
        <v>Dallas</v>
      </c>
      <c r="I73" s="86" t="str">
        <f>VLOOKUP(C73,Groups!$B$7:$D$65,3,0)</f>
        <v>Jordanië</v>
      </c>
      <c r="J73" s="86" t="str">
        <f>VLOOKUP(D73,Groups!$B$7:$D$65,3,0)</f>
        <v>Argentinië</v>
      </c>
      <c r="K73" s="79"/>
      <c r="L73" s="529" t="b">
        <f>IFERROR(VLOOKUP(N73,Groups!$D$7:$E$65,2,0),FALSE)</f>
        <v>0</v>
      </c>
      <c r="M73" s="530" t="str">
        <f t="shared" si="0"/>
        <v>3-AEHIJ</v>
      </c>
      <c r="N73" s="531" t="str">
        <f>IF(Distinctness!$G$17&gt;0,INDEX(ThirdPlaced!$C$4:$C$15,MATCH(O73,ThirdPlaced!$I$4:$I$15),0),"")</f>
        <v/>
      </c>
      <c r="O73" s="532" t="str">
        <f>IFERROR(VLOOKUP(ThirdPlaced!$I$30,AssignThird!$C$8:$K$502,6,0),"")</f>
        <v/>
      </c>
    </row>
    <row r="74" spans="2:15">
      <c r="B74" s="163">
        <v>71</v>
      </c>
      <c r="C74" s="161" t="s">
        <v>1054</v>
      </c>
      <c r="D74" s="162" t="s">
        <v>848</v>
      </c>
      <c r="E74" s="144">
        <v>46200.8125</v>
      </c>
      <c r="F74" s="56">
        <f>$E74-VLOOKUP($G74,TimeZone!$L$4:$O$19,4,0)+VLOOKUP(TimeZone!$H$1,TimeZone!$C$4:$E$40,3,0)</f>
        <v>46201.0625</v>
      </c>
      <c r="G74" s="156">
        <v>13</v>
      </c>
      <c r="H74" s="86" t="str">
        <f>VLOOKUP($G74,Language!$D$103:$E$118,2,0)</f>
        <v>Miami</v>
      </c>
      <c r="I74" s="86" t="str">
        <f>VLOOKUP(C74,Groups!$B$7:$D$65,3,0)</f>
        <v>Colombia</v>
      </c>
      <c r="J74" s="86" t="str">
        <f>VLOOKUP(D74,Groups!$B$7:$D$65,3,0)</f>
        <v>Portugal</v>
      </c>
      <c r="K74" s="79"/>
      <c r="L74" s="529" t="b">
        <f>IFERROR(VLOOKUP(N74,Groups!$D$7:$E$65,2,0),FALSE)</f>
        <v>0</v>
      </c>
      <c r="M74" s="530" t="str">
        <f t="shared" si="0"/>
        <v>3-CDFGH</v>
      </c>
      <c r="N74" s="531" t="str">
        <f>IF(Distinctness!$G$17&gt;0,INDEX(ThirdPlaced!$C$4:$C$15,MATCH(O74,ThirdPlaced!$I$4:$I$15),0),"")</f>
        <v/>
      </c>
      <c r="O74" s="532" t="str">
        <f>IFERROR(VLOOKUP(ThirdPlaced!$I$30,AssignThird!$C$8:$K$502,7,0),"")</f>
        <v/>
      </c>
    </row>
    <row r="75" spans="2:15">
      <c r="B75" s="163">
        <v>72</v>
      </c>
      <c r="C75" s="161" t="s">
        <v>849</v>
      </c>
      <c r="D75" s="162" t="s">
        <v>850</v>
      </c>
      <c r="E75" s="144">
        <v>46200.8125</v>
      </c>
      <c r="F75" s="56">
        <f>$E75-VLOOKUP($G75,TimeZone!$L$4:$O$19,4,0)+VLOOKUP(TimeZone!$H$1,TimeZone!$C$4:$E$40,3,0)</f>
        <v>46201.0625</v>
      </c>
      <c r="G75" s="156">
        <v>7</v>
      </c>
      <c r="H75" s="86" t="str">
        <f>VLOOKUP($G75,Language!$D$103:$E$118,2,0)</f>
        <v>Atlanta</v>
      </c>
      <c r="I75" s="86" t="str">
        <f>VLOOKUP(C75,Groups!$B$7:$D$65,3,0)</f>
        <v>DR Congo</v>
      </c>
      <c r="J75" s="86" t="str">
        <f>VLOOKUP(D75,Groups!$B$7:$D$65,3,0)</f>
        <v>Oezbekistan</v>
      </c>
      <c r="K75" s="79"/>
      <c r="L75" s="529" t="b">
        <f>IFERROR(VLOOKUP(N75,Groups!$D$7:$E$65,2,0),FALSE)</f>
        <v>0</v>
      </c>
      <c r="M75" s="530" t="str">
        <f t="shared" si="0"/>
        <v>3-DEIJL</v>
      </c>
      <c r="N75" s="531" t="str">
        <f>IF(Distinctness!$G$17&gt;0,INDEX(ThirdPlaced!$C$4:$C$15,MATCH(O75,ThirdPlaced!$I$4:$I$15),0),"")</f>
        <v/>
      </c>
      <c r="O75" s="532" t="str">
        <f>IFERROR(VLOOKUP(ThirdPlaced!$I$30,AssignThird!$C$8:$K$502,8,0),"")</f>
        <v/>
      </c>
    </row>
    <row r="76" spans="2:15" ht="15" thickBot="1">
      <c r="B76" s="57" t="s">
        <v>897</v>
      </c>
      <c r="C76" s="71"/>
      <c r="D76" s="71"/>
      <c r="E76" s="42"/>
      <c r="F76" s="43"/>
      <c r="G76" s="153"/>
      <c r="H76" s="43"/>
      <c r="I76" s="43"/>
      <c r="J76" s="43"/>
      <c r="K76" s="80"/>
      <c r="L76" s="533" t="b">
        <f>IFERROR(VLOOKUP(N76,Groups!$D$7:$E$65,2,0),FALSE)</f>
        <v>0</v>
      </c>
      <c r="M76" s="534" t="str">
        <f>M108</f>
        <v>3-EHIJK</v>
      </c>
      <c r="N76" s="535" t="str">
        <f>IF(Distinctness!$G$17&gt;0,INDEX(ThirdPlaced!$C$4:$C$15,MATCH(O76,ThirdPlaced!$I$4:$I$15),0),"")</f>
        <v/>
      </c>
      <c r="O76" s="536" t="str">
        <f>IFERROR(VLOOKUP(ThirdPlaced!$I$30,AssignThird!$C$8:$K$502,9,0),"")</f>
        <v/>
      </c>
    </row>
    <row r="77" spans="2:15">
      <c r="B77" s="163">
        <v>73</v>
      </c>
      <c r="C77" s="161" t="s">
        <v>8</v>
      </c>
      <c r="D77" s="162" t="s">
        <v>9</v>
      </c>
      <c r="E77" s="144">
        <v>46201.625</v>
      </c>
      <c r="F77" s="56">
        <f>$E77-VLOOKUP($G77,TimeZone!$L$4:$O$19,4,0)+VLOOKUP(TimeZone!$H$1,TimeZone!$C$4:$E$40,3,0)</f>
        <v>46201.875</v>
      </c>
      <c r="G77" s="156">
        <v>8</v>
      </c>
      <c r="H77" s="86" t="str">
        <f>VLOOKUP($G77,Language!$D$103:$E$118,2,0)</f>
        <v>Los Angeles</v>
      </c>
      <c r="I77" s="86" t="str">
        <f>VLOOKUP(C77,$M$77:$N$108,2,0)</f>
        <v/>
      </c>
      <c r="J77" s="86" t="str">
        <f>VLOOKUP(D77,$M$77:$N$108,2,0)</f>
        <v/>
      </c>
      <c r="K77" s="168">
        <v>1</v>
      </c>
      <c r="M77" s="519" t="s">
        <v>2</v>
      </c>
      <c r="N77" s="520" t="str">
        <f>'World Cup'!$B$42</f>
        <v/>
      </c>
    </row>
    <row r="78" spans="2:15">
      <c r="B78" s="163">
        <v>74</v>
      </c>
      <c r="C78" s="161" t="s">
        <v>6</v>
      </c>
      <c r="D78" s="162" t="str">
        <f>AssignThird!$G$4</f>
        <v>3-ABCDF</v>
      </c>
      <c r="E78" s="144">
        <v>46202.6875</v>
      </c>
      <c r="F78" s="56">
        <f>$E78-VLOOKUP($G78,TimeZone!$L$4:$O$19,4,0)+VLOOKUP(TimeZone!$H$1,TimeZone!$C$4:$E$40,3,0)</f>
        <v>46202.9375</v>
      </c>
      <c r="G78" s="156">
        <v>12</v>
      </c>
      <c r="H78" s="86" t="str">
        <f>VLOOKUP($G78,Language!$D$103:$E$118,2,0)</f>
        <v>Boston</v>
      </c>
      <c r="I78" s="86" t="str">
        <f t="shared" ref="I78:I92" si="1">VLOOKUP(C78,$M$77:$N$108,2,0)</f>
        <v/>
      </c>
      <c r="J78" s="86" t="str">
        <f t="shared" ref="J78:J92" si="2">VLOOKUP(D78,$M$77:$N$108,2,0)</f>
        <v/>
      </c>
      <c r="K78" s="168">
        <v>3</v>
      </c>
      <c r="M78" s="521" t="s">
        <v>8</v>
      </c>
      <c r="N78" s="522" t="str">
        <f>'World Cup'!$B$43</f>
        <v/>
      </c>
    </row>
    <row r="79" spans="2:15">
      <c r="B79" s="163">
        <v>75</v>
      </c>
      <c r="C79" s="161" t="s">
        <v>7</v>
      </c>
      <c r="D79" s="162" t="s">
        <v>10</v>
      </c>
      <c r="E79" s="144">
        <v>46202.875</v>
      </c>
      <c r="F79" s="56">
        <f>$E79-VLOOKUP($G79,TimeZone!$L$4:$O$19,4,0)+VLOOKUP(TimeZone!$H$1,TimeZone!$C$4:$E$40,3,0)</f>
        <v>46203.125</v>
      </c>
      <c r="G79" s="156">
        <v>16</v>
      </c>
      <c r="H79" s="86" t="str">
        <f>VLOOKUP($G79,Language!$D$103:$E$118,2,0)</f>
        <v>Monterrey</v>
      </c>
      <c r="I79" s="86" t="str">
        <f t="shared" si="1"/>
        <v/>
      </c>
      <c r="J79" s="86" t="str">
        <f t="shared" si="2"/>
        <v/>
      </c>
      <c r="K79" s="168">
        <v>4</v>
      </c>
      <c r="M79" s="521" t="s">
        <v>3</v>
      </c>
      <c r="N79" s="522" t="str">
        <f>'World Cup'!$E$42</f>
        <v/>
      </c>
    </row>
    <row r="80" spans="2:15">
      <c r="B80" s="163">
        <v>76</v>
      </c>
      <c r="C80" s="161" t="s">
        <v>4</v>
      </c>
      <c r="D80" s="162" t="s">
        <v>13</v>
      </c>
      <c r="E80" s="144">
        <v>46202.541666666664</v>
      </c>
      <c r="F80" s="56">
        <f>$E80-VLOOKUP($G80,TimeZone!$L$4:$O$19,4,0)+VLOOKUP(TimeZone!$H$1,TimeZone!$C$4:$E$40,3,0)</f>
        <v>46202.791666666664</v>
      </c>
      <c r="G80" s="156">
        <v>6</v>
      </c>
      <c r="H80" s="86" t="str">
        <f>VLOOKUP($G80,Language!$D$103:$E$118,2,0)</f>
        <v>Houston</v>
      </c>
      <c r="I80" s="86" t="str">
        <f t="shared" si="1"/>
        <v/>
      </c>
      <c r="J80" s="86" t="str">
        <f t="shared" si="2"/>
        <v/>
      </c>
      <c r="K80" s="168">
        <v>2</v>
      </c>
      <c r="M80" s="521" t="s">
        <v>9</v>
      </c>
      <c r="N80" s="522" t="str">
        <f>'World Cup'!$E$43</f>
        <v/>
      </c>
    </row>
    <row r="81" spans="2:14">
      <c r="B81" s="163">
        <v>77</v>
      </c>
      <c r="C81" s="161" t="s">
        <v>855</v>
      </c>
      <c r="D81" s="162" t="str">
        <f>AssignThird!$I$4</f>
        <v>3-CDFGH</v>
      </c>
      <c r="E81" s="144">
        <v>46203.708333333336</v>
      </c>
      <c r="F81" s="56">
        <f>$E81-VLOOKUP($G81,TimeZone!$L$4:$O$19,4,0)+VLOOKUP(TimeZone!$H$1,TimeZone!$C$4:$E$40,3,0)</f>
        <v>46203.958333333336</v>
      </c>
      <c r="G81" s="156">
        <v>3</v>
      </c>
      <c r="H81" s="86" t="str">
        <f>VLOOKUP($G81,Language!$D$103:$E$118,2,0)</f>
        <v>New York/New Jersey</v>
      </c>
      <c r="I81" s="86" t="str">
        <f t="shared" si="1"/>
        <v/>
      </c>
      <c r="J81" s="86" t="str">
        <f t="shared" si="2"/>
        <v/>
      </c>
      <c r="K81" s="168">
        <v>6</v>
      </c>
      <c r="M81" s="521" t="s">
        <v>4</v>
      </c>
      <c r="N81" s="522" t="str">
        <f>'World Cup'!$H$42</f>
        <v/>
      </c>
    </row>
    <row r="82" spans="2:14">
      <c r="B82" s="163">
        <v>78</v>
      </c>
      <c r="C82" s="161" t="s">
        <v>12</v>
      </c>
      <c r="D82" s="162" t="s">
        <v>856</v>
      </c>
      <c r="E82" s="144">
        <v>46203.541666666664</v>
      </c>
      <c r="F82" s="56">
        <f>$E82-VLOOKUP($G82,TimeZone!$L$4:$O$19,4,0)+VLOOKUP(TimeZone!$H$1,TimeZone!$C$4:$E$40,3,0)</f>
        <v>46203.791666666664</v>
      </c>
      <c r="G82" s="156">
        <v>5</v>
      </c>
      <c r="H82" s="86" t="str">
        <f>VLOOKUP($G82,Language!$D$103:$E$118,2,0)</f>
        <v>Dallas</v>
      </c>
      <c r="I82" s="86" t="str">
        <f t="shared" si="1"/>
        <v/>
      </c>
      <c r="J82" s="86" t="str">
        <f t="shared" si="2"/>
        <v/>
      </c>
      <c r="K82" s="168">
        <v>5</v>
      </c>
      <c r="M82" s="521" t="s">
        <v>10</v>
      </c>
      <c r="N82" s="522" t="str">
        <f>'World Cup'!$H$43</f>
        <v/>
      </c>
    </row>
    <row r="83" spans="2:14">
      <c r="B83" s="163">
        <v>79</v>
      </c>
      <c r="C83" s="161" t="s">
        <v>2</v>
      </c>
      <c r="D83" s="162" t="str">
        <f>AssignThird!$D$4</f>
        <v>3-CEFHI</v>
      </c>
      <c r="E83" s="144">
        <v>46203.875</v>
      </c>
      <c r="F83" s="56">
        <f>$E83-VLOOKUP($G83,TimeZone!$L$4:$O$19,4,0)+VLOOKUP(TimeZone!$H$1,TimeZone!$C$4:$E$40,3,0)</f>
        <v>46204.125</v>
      </c>
      <c r="G83" s="154">
        <v>14</v>
      </c>
      <c r="H83" s="86" t="str">
        <f>VLOOKUP($G83,Language!$D$103:$E$118,2,0)</f>
        <v>Mexico City</v>
      </c>
      <c r="I83" s="86" t="str">
        <f t="shared" si="1"/>
        <v/>
      </c>
      <c r="J83" s="86" t="str">
        <f t="shared" si="2"/>
        <v/>
      </c>
      <c r="K83" s="168">
        <v>7</v>
      </c>
      <c r="M83" s="521" t="s">
        <v>5</v>
      </c>
      <c r="N83" s="522" t="str">
        <f>'World Cup'!$K$42</f>
        <v/>
      </c>
    </row>
    <row r="84" spans="2:14">
      <c r="B84" s="163">
        <v>80</v>
      </c>
      <c r="C84" s="161" t="s">
        <v>864</v>
      </c>
      <c r="D84" s="162" t="str">
        <f>AssignThird!$K$4</f>
        <v>3-EHIJK</v>
      </c>
      <c r="E84" s="144">
        <v>46204.5</v>
      </c>
      <c r="F84" s="56">
        <f>$E84-VLOOKUP($G84,TimeZone!$L$4:$O$19,4,0)+VLOOKUP(TimeZone!$H$1,TimeZone!$C$4:$E$40,3,0)</f>
        <v>46204.75</v>
      </c>
      <c r="G84" s="156">
        <v>7</v>
      </c>
      <c r="H84" s="86" t="str">
        <f>VLOOKUP($G84,Language!$D$103:$E$118,2,0)</f>
        <v>Atlanta</v>
      </c>
      <c r="I84" s="86" t="str">
        <f t="shared" si="1"/>
        <v/>
      </c>
      <c r="J84" s="86" t="str">
        <f t="shared" si="2"/>
        <v/>
      </c>
      <c r="K84" s="168">
        <v>8</v>
      </c>
      <c r="M84" s="521" t="s">
        <v>11</v>
      </c>
      <c r="N84" s="522" t="str">
        <f>'World Cup'!$K$43</f>
        <v/>
      </c>
    </row>
    <row r="85" spans="2:14">
      <c r="B85" s="163">
        <v>81</v>
      </c>
      <c r="C85" s="161" t="s">
        <v>5</v>
      </c>
      <c r="D85" s="162" t="str">
        <f>AssignThird!$F$4</f>
        <v>3-BEFIJ</v>
      </c>
      <c r="E85" s="144">
        <v>46204.833333333336</v>
      </c>
      <c r="F85" s="56">
        <f>$E85-VLOOKUP($G85,TimeZone!$L$4:$O$19,4,0)+VLOOKUP(TimeZone!$H$1,TimeZone!$C$4:$E$40,3,0)</f>
        <v>46205.083333333336</v>
      </c>
      <c r="G85" s="156">
        <v>11</v>
      </c>
      <c r="H85" s="86" t="str">
        <f>VLOOKUP($G85,Language!$D$103:$E$118,2,0)</f>
        <v>San Francisco Bay Area</v>
      </c>
      <c r="I85" s="86" t="str">
        <f t="shared" si="1"/>
        <v/>
      </c>
      <c r="J85" s="86" t="str">
        <f t="shared" si="2"/>
        <v/>
      </c>
      <c r="K85" s="168">
        <v>10</v>
      </c>
      <c r="M85" s="521" t="s">
        <v>6</v>
      </c>
      <c r="N85" s="522" t="str">
        <f>'World Cup'!$N$42</f>
        <v/>
      </c>
    </row>
    <row r="86" spans="2:14">
      <c r="B86" s="163">
        <v>82</v>
      </c>
      <c r="C86" s="161" t="s">
        <v>93</v>
      </c>
      <c r="D86" s="162" t="str">
        <f>AssignThird!$H$4</f>
        <v>3-AEHIJ</v>
      </c>
      <c r="E86" s="144">
        <v>46204.666666666664</v>
      </c>
      <c r="F86" s="56">
        <f>$E86-VLOOKUP($G86,TimeZone!$L$4:$O$19,4,0)+VLOOKUP(TimeZone!$H$1,TimeZone!$C$4:$E$40,3,0)</f>
        <v>46204.916666666664</v>
      </c>
      <c r="G86" s="156">
        <v>10</v>
      </c>
      <c r="H86" s="86" t="str">
        <f>VLOOKUP($G86,Language!$D$103:$E$118,2,0)</f>
        <v>Seattle</v>
      </c>
      <c r="I86" s="86" t="str">
        <f t="shared" si="1"/>
        <v/>
      </c>
      <c r="J86" s="86" t="str">
        <f t="shared" si="2"/>
        <v/>
      </c>
      <c r="K86" s="168">
        <v>9</v>
      </c>
      <c r="M86" s="521" t="s">
        <v>12</v>
      </c>
      <c r="N86" s="522" t="str">
        <f>'World Cup'!$N$43</f>
        <v/>
      </c>
    </row>
    <row r="87" spans="2:14">
      <c r="B87" s="163">
        <v>83</v>
      </c>
      <c r="C87" s="161" t="s">
        <v>862</v>
      </c>
      <c r="D87" s="162" t="s">
        <v>865</v>
      </c>
      <c r="E87" s="144">
        <v>46205.791666666664</v>
      </c>
      <c r="F87" s="56">
        <f>$E87-VLOOKUP($G87,TimeZone!$L$4:$O$19,4,0)+VLOOKUP(TimeZone!$H$1,TimeZone!$C$4:$E$40,3,0)</f>
        <v>46206.041666666664</v>
      </c>
      <c r="G87" s="156">
        <v>2</v>
      </c>
      <c r="H87" s="86" t="str">
        <f>VLOOKUP($G87,Language!$D$103:$E$118,2,0)</f>
        <v>Toronto</v>
      </c>
      <c r="I87" s="86" t="str">
        <f t="shared" si="1"/>
        <v/>
      </c>
      <c r="J87" s="86" t="str">
        <f t="shared" si="2"/>
        <v/>
      </c>
      <c r="K87" s="168">
        <v>12</v>
      </c>
      <c r="M87" s="521" t="s">
        <v>7</v>
      </c>
      <c r="N87" s="522" t="str">
        <f>'World Cup'!$Q$42</f>
        <v/>
      </c>
    </row>
    <row r="88" spans="2:14">
      <c r="B88" s="163">
        <v>84</v>
      </c>
      <c r="C88" s="161" t="s">
        <v>96</v>
      </c>
      <c r="D88" s="162" t="s">
        <v>859</v>
      </c>
      <c r="E88" s="144">
        <v>46205.625</v>
      </c>
      <c r="F88" s="56">
        <f>$E88-VLOOKUP($G88,TimeZone!$L$4:$O$19,4,0)+VLOOKUP(TimeZone!$H$1,TimeZone!$C$4:$E$40,3,0)</f>
        <v>46205.875</v>
      </c>
      <c r="G88" s="156">
        <v>8</v>
      </c>
      <c r="H88" s="86" t="str">
        <f>VLOOKUP($G88,Language!$D$103:$E$118,2,0)</f>
        <v>Los Angeles</v>
      </c>
      <c r="I88" s="86" t="str">
        <f t="shared" si="1"/>
        <v/>
      </c>
      <c r="J88" s="86" t="str">
        <f t="shared" si="2"/>
        <v/>
      </c>
      <c r="K88" s="168">
        <v>11</v>
      </c>
      <c r="M88" s="521" t="s">
        <v>13</v>
      </c>
      <c r="N88" s="522" t="str">
        <f>'World Cup'!$Q$43</f>
        <v/>
      </c>
    </row>
    <row r="89" spans="2:14">
      <c r="B89" s="163">
        <v>85</v>
      </c>
      <c r="C89" s="161" t="s">
        <v>3</v>
      </c>
      <c r="D89" s="162" t="str">
        <f>AssignThird!$E$4</f>
        <v>3-EFGIJ</v>
      </c>
      <c r="E89" s="144">
        <v>46205.958333333336</v>
      </c>
      <c r="F89" s="56">
        <f>$E89-VLOOKUP($G89,TimeZone!$L$4:$O$19,4,0)+VLOOKUP(TimeZone!$H$1,TimeZone!$C$4:$E$40,3,0)</f>
        <v>46206.208333333336</v>
      </c>
      <c r="G89" s="156">
        <v>1</v>
      </c>
      <c r="H89" s="86" t="str">
        <f>VLOOKUP($G89,Language!$D$103:$E$118,2,0)</f>
        <v>Vancouver</v>
      </c>
      <c r="I89" s="86" t="str">
        <f t="shared" si="1"/>
        <v/>
      </c>
      <c r="J89" s="86" t="str">
        <f t="shared" si="2"/>
        <v/>
      </c>
      <c r="K89" s="168">
        <v>13</v>
      </c>
      <c r="M89" s="521" t="s">
        <v>93</v>
      </c>
      <c r="N89" s="522" t="str">
        <f>'World Cup'!$T$42</f>
        <v/>
      </c>
    </row>
    <row r="90" spans="2:14">
      <c r="B90" s="163">
        <v>86</v>
      </c>
      <c r="C90" s="161" t="s">
        <v>858</v>
      </c>
      <c r="D90" s="162" t="s">
        <v>97</v>
      </c>
      <c r="E90" s="144">
        <v>46206.75</v>
      </c>
      <c r="F90" s="56">
        <f>$E90-VLOOKUP($G90,TimeZone!$L$4:$O$19,4,0)+VLOOKUP(TimeZone!$H$1,TimeZone!$C$4:$E$40,3,0)</f>
        <v>46207</v>
      </c>
      <c r="G90" s="156">
        <v>13</v>
      </c>
      <c r="H90" s="86" t="str">
        <f>VLOOKUP($G90,Language!$D$103:$E$118,2,0)</f>
        <v>Miami</v>
      </c>
      <c r="I90" s="86" t="str">
        <f t="shared" si="1"/>
        <v/>
      </c>
      <c r="J90" s="86" t="str">
        <f t="shared" si="2"/>
        <v/>
      </c>
      <c r="K90" s="168">
        <v>15</v>
      </c>
      <c r="M90" s="521" t="s">
        <v>94</v>
      </c>
      <c r="N90" s="522" t="str">
        <f>'World Cup'!$T$43</f>
        <v/>
      </c>
    </row>
    <row r="91" spans="2:14">
      <c r="B91" s="163">
        <v>87</v>
      </c>
      <c r="C91" s="161" t="s">
        <v>861</v>
      </c>
      <c r="D91" s="162" t="str">
        <f>AssignThird!$J$4</f>
        <v>3-DEIJL</v>
      </c>
      <c r="E91" s="144">
        <v>46206.895833333336</v>
      </c>
      <c r="F91" s="56">
        <f>$E91-VLOOKUP($G91,TimeZone!$L$4:$O$19,4,0)+VLOOKUP(TimeZone!$H$1,TimeZone!$C$4:$E$40,3,0)</f>
        <v>46207.145833333336</v>
      </c>
      <c r="G91" s="156">
        <v>4</v>
      </c>
      <c r="H91" s="86" t="str">
        <f>VLOOKUP($G91,Language!$D$103:$E$118,2,0)</f>
        <v>Kansas City</v>
      </c>
      <c r="I91" s="86" t="str">
        <f t="shared" si="1"/>
        <v/>
      </c>
      <c r="J91" s="86" t="str">
        <f t="shared" si="2"/>
        <v/>
      </c>
      <c r="K91" s="168">
        <v>16</v>
      </c>
      <c r="M91" s="521" t="s">
        <v>96</v>
      </c>
      <c r="N91" s="522" t="str">
        <f>'World Cup'!$W$42</f>
        <v/>
      </c>
    </row>
    <row r="92" spans="2:14" ht="15" thickBot="1">
      <c r="B92" s="163">
        <v>88</v>
      </c>
      <c r="C92" s="161" t="s">
        <v>11</v>
      </c>
      <c r="D92" s="162" t="s">
        <v>94</v>
      </c>
      <c r="E92" s="144">
        <v>46206.583333333336</v>
      </c>
      <c r="F92" s="56">
        <f>$E92-VLOOKUP($G92,TimeZone!$L$4:$O$19,4,0)+VLOOKUP(TimeZone!$H$1,TimeZone!$C$4:$E$40,3,0)</f>
        <v>46206.833333333336</v>
      </c>
      <c r="G92" s="156">
        <v>5</v>
      </c>
      <c r="H92" s="86" t="str">
        <f>VLOOKUP($G92,Language!$D$103:$E$118,2,0)</f>
        <v>Dallas</v>
      </c>
      <c r="I92" s="86" t="str">
        <f t="shared" si="1"/>
        <v/>
      </c>
      <c r="J92" s="86" t="str">
        <f t="shared" si="2"/>
        <v/>
      </c>
      <c r="K92" s="168">
        <v>14</v>
      </c>
      <c r="M92" s="523" t="s">
        <v>97</v>
      </c>
      <c r="N92" s="524" t="str">
        <f>'World Cup'!$W$43</f>
        <v/>
      </c>
    </row>
    <row r="93" spans="2:14">
      <c r="B93" s="57" t="s">
        <v>566</v>
      </c>
      <c r="C93" s="71"/>
      <c r="D93" s="71"/>
      <c r="E93" s="42"/>
      <c r="F93" s="43"/>
      <c r="G93" s="153"/>
      <c r="H93" s="43"/>
      <c r="I93" s="43"/>
      <c r="J93" s="43"/>
      <c r="K93" s="80"/>
      <c r="M93" s="519" t="s">
        <v>855</v>
      </c>
      <c r="N93" s="520" t="str">
        <f>'World Cup'!$Z$42</f>
        <v/>
      </c>
    </row>
    <row r="94" spans="2:14">
      <c r="B94" s="163">
        <v>89</v>
      </c>
      <c r="C94" s="161" t="s">
        <v>884</v>
      </c>
      <c r="D94" s="162" t="s">
        <v>887</v>
      </c>
      <c r="E94" s="144">
        <v>46207.708333333336</v>
      </c>
      <c r="F94" s="56">
        <f>$E94-VLOOKUP($G94,TimeZone!$L$4:$O$19,4,0)+VLOOKUP(TimeZone!$H$1,TimeZone!$C$4:$E$40,3,0)</f>
        <v>46207.958333333336</v>
      </c>
      <c r="G94" s="156">
        <v>9</v>
      </c>
      <c r="H94" s="86" t="str">
        <f>VLOOKUP($G94,Language!$D$103:$E$118,2,0)</f>
        <v>Philadelphia</v>
      </c>
      <c r="I94" s="328"/>
      <c r="J94" s="328"/>
      <c r="K94" s="168">
        <v>2</v>
      </c>
      <c r="L94" s="40"/>
      <c r="M94" s="521" t="s">
        <v>856</v>
      </c>
      <c r="N94" s="522" t="str">
        <f>'World Cup'!$Z$43</f>
        <v/>
      </c>
    </row>
    <row r="95" spans="2:14">
      <c r="B95" s="163">
        <v>90</v>
      </c>
      <c r="C95" s="161" t="s">
        <v>883</v>
      </c>
      <c r="D95" s="162" t="s">
        <v>885</v>
      </c>
      <c r="E95" s="144">
        <v>46207.541666666664</v>
      </c>
      <c r="F95" s="56">
        <f>$E95-VLOOKUP($G95,TimeZone!$L$4:$O$19,4,0)+VLOOKUP(TimeZone!$H$1,TimeZone!$C$4:$E$40,3,0)</f>
        <v>46207.791666666664</v>
      </c>
      <c r="G95" s="156">
        <v>6</v>
      </c>
      <c r="H95" s="86" t="str">
        <f>VLOOKUP($G95,Language!$D$103:$E$118,2,0)</f>
        <v>Houston</v>
      </c>
      <c r="I95" s="329"/>
      <c r="J95" s="329"/>
      <c r="K95" s="168">
        <v>1</v>
      </c>
      <c r="L95" s="40"/>
      <c r="M95" s="521" t="s">
        <v>858</v>
      </c>
      <c r="N95" s="522" t="str">
        <f>'World Cup'!$AC$42</f>
        <v/>
      </c>
    </row>
    <row r="96" spans="2:14">
      <c r="B96" s="163">
        <v>91</v>
      </c>
      <c r="C96" s="161" t="s">
        <v>886</v>
      </c>
      <c r="D96" s="162" t="s">
        <v>888</v>
      </c>
      <c r="E96" s="144">
        <v>46208.666666666664</v>
      </c>
      <c r="F96" s="56">
        <f>$E96-VLOOKUP($G96,TimeZone!$L$4:$O$19,4,0)+VLOOKUP(TimeZone!$H$1,TimeZone!$C$4:$E$40,3,0)</f>
        <v>46208.916666666664</v>
      </c>
      <c r="G96" s="156">
        <v>3</v>
      </c>
      <c r="H96" s="86" t="str">
        <f>VLOOKUP($G96,Language!$D$103:$E$118,2,0)</f>
        <v>New York/New Jersey</v>
      </c>
      <c r="I96" s="329"/>
      <c r="J96" s="329"/>
      <c r="K96" s="168">
        <v>3</v>
      </c>
      <c r="L96" s="40"/>
      <c r="M96" s="521" t="s">
        <v>859</v>
      </c>
      <c r="N96" s="522" t="str">
        <f>'World Cup'!$AC$43</f>
        <v/>
      </c>
    </row>
    <row r="97" spans="2:25">
      <c r="B97" s="163">
        <v>92</v>
      </c>
      <c r="C97" s="161" t="s">
        <v>1056</v>
      </c>
      <c r="D97" s="162" t="s">
        <v>1061</v>
      </c>
      <c r="E97" s="144">
        <v>46208.833333333336</v>
      </c>
      <c r="F97" s="56">
        <f>$E97-VLOOKUP($G97,TimeZone!$L$4:$O$19,4,0)+VLOOKUP(TimeZone!$H$1,TimeZone!$C$4:$E$40,3,0)</f>
        <v>46209.083333333336</v>
      </c>
      <c r="G97" s="154">
        <v>14</v>
      </c>
      <c r="H97" s="86" t="str">
        <f>VLOOKUP($G97,Language!$D$103:$E$118,2,0)</f>
        <v>Mexico City</v>
      </c>
      <c r="I97" s="329"/>
      <c r="J97" s="329"/>
      <c r="K97" s="168">
        <v>4</v>
      </c>
      <c r="L97" s="40"/>
      <c r="M97" s="521" t="s">
        <v>861</v>
      </c>
      <c r="N97" s="522" t="str">
        <f>'World Cup'!$AF$42</f>
        <v/>
      </c>
    </row>
    <row r="98" spans="2:25">
      <c r="B98" s="163">
        <v>93</v>
      </c>
      <c r="C98" s="161" t="s">
        <v>1058</v>
      </c>
      <c r="D98" s="162" t="s">
        <v>1063</v>
      </c>
      <c r="E98" s="144">
        <v>46209.625</v>
      </c>
      <c r="F98" s="56">
        <f>$E98-VLOOKUP($G98,TimeZone!$L$4:$O$19,4,0)+VLOOKUP(TimeZone!$H$1,TimeZone!$C$4:$E$40,3,0)</f>
        <v>46209.875</v>
      </c>
      <c r="G98" s="156">
        <v>5</v>
      </c>
      <c r="H98" s="86" t="str">
        <f>VLOOKUP($G98,Language!$D$103:$E$118,2,0)</f>
        <v>Dallas</v>
      </c>
      <c r="I98" s="329"/>
      <c r="J98" s="329"/>
      <c r="K98" s="168">
        <v>5</v>
      </c>
      <c r="L98" s="40"/>
      <c r="M98" s="521" t="s">
        <v>862</v>
      </c>
      <c r="N98" s="522" t="str">
        <f>'World Cup'!$AF$43</f>
        <v/>
      </c>
    </row>
    <row r="99" spans="2:25">
      <c r="B99" s="163">
        <v>94</v>
      </c>
      <c r="C99" s="161" t="s">
        <v>1057</v>
      </c>
      <c r="D99" s="162" t="s">
        <v>1062</v>
      </c>
      <c r="E99" s="144">
        <v>46209.833333333336</v>
      </c>
      <c r="F99" s="56">
        <f>$E99-VLOOKUP($G99,TimeZone!$L$4:$O$19,4,0)+VLOOKUP(TimeZone!$H$1,TimeZone!$C$4:$E$40,3,0)</f>
        <v>46210.083333333336</v>
      </c>
      <c r="G99" s="156">
        <v>10</v>
      </c>
      <c r="H99" s="86" t="str">
        <f>VLOOKUP($G99,Language!$D$103:$E$118,2,0)</f>
        <v>Seattle</v>
      </c>
      <c r="I99" s="329"/>
      <c r="J99" s="329"/>
      <c r="K99" s="168">
        <v>6</v>
      </c>
      <c r="L99" s="40"/>
      <c r="M99" s="521" t="s">
        <v>864</v>
      </c>
      <c r="N99" s="522" t="str">
        <f>'World Cup'!$AI$42</f>
        <v/>
      </c>
    </row>
    <row r="100" spans="2:25">
      <c r="B100" s="163">
        <v>95</v>
      </c>
      <c r="C100" s="161" t="s">
        <v>1064</v>
      </c>
      <c r="D100" s="162" t="s">
        <v>1065</v>
      </c>
      <c r="E100" s="144">
        <v>46210.5</v>
      </c>
      <c r="F100" s="56">
        <f>$E100-VLOOKUP($G100,TimeZone!$L$4:$O$19,4,0)+VLOOKUP(TimeZone!$H$1,TimeZone!$C$4:$E$40,3,0)</f>
        <v>46210.75</v>
      </c>
      <c r="G100" s="156">
        <v>7</v>
      </c>
      <c r="H100" s="86" t="str">
        <f>VLOOKUP($G100,Language!$D$103:$E$118,2,0)</f>
        <v>Atlanta</v>
      </c>
      <c r="I100" s="329"/>
      <c r="J100" s="329"/>
      <c r="K100" s="168">
        <v>7</v>
      </c>
      <c r="L100" s="40"/>
      <c r="M100" s="521" t="s">
        <v>865</v>
      </c>
      <c r="N100" s="522" t="str">
        <f>'World Cup'!$AI$43</f>
        <v/>
      </c>
    </row>
    <row r="101" spans="2:25">
      <c r="B101" s="163">
        <v>96</v>
      </c>
      <c r="C101" s="161" t="s">
        <v>1059</v>
      </c>
      <c r="D101" s="162" t="s">
        <v>1060</v>
      </c>
      <c r="E101" s="144">
        <v>46210.666666666664</v>
      </c>
      <c r="F101" s="56">
        <f>$E101-VLOOKUP($G101,TimeZone!$L$4:$O$19,4,0)+VLOOKUP(TimeZone!$H$1,TimeZone!$C$4:$E$40,3,0)</f>
        <v>46210.916666666664</v>
      </c>
      <c r="G101" s="155">
        <v>1</v>
      </c>
      <c r="H101" s="86" t="str">
        <f>VLOOKUP($G101,Language!$D$103:$E$118,2,0)</f>
        <v>Vancouver</v>
      </c>
      <c r="I101" s="330"/>
      <c r="J101" s="330"/>
      <c r="K101" s="168">
        <v>8</v>
      </c>
      <c r="L101" s="40"/>
      <c r="M101" s="521" t="str">
        <f>AssignThird!$D$4</f>
        <v>3-CEFHI</v>
      </c>
      <c r="N101" s="522" t="str">
        <f>IF(L69,N69,"")</f>
        <v/>
      </c>
    </row>
    <row r="102" spans="2:25">
      <c r="B102" s="57" t="s">
        <v>133</v>
      </c>
      <c r="C102" s="71"/>
      <c r="D102" s="71"/>
      <c r="E102" s="42"/>
      <c r="F102" s="43"/>
      <c r="G102" s="153"/>
      <c r="H102" s="43"/>
      <c r="I102" s="43"/>
      <c r="J102" s="43"/>
      <c r="K102" s="81"/>
      <c r="M102" s="521" t="str">
        <f>AssignThird!$E$4</f>
        <v>3-EFGIJ</v>
      </c>
      <c r="N102" s="522" t="str">
        <f t="shared" ref="N102:N108" si="3">IF(L70,N70,"")</f>
        <v/>
      </c>
    </row>
    <row r="103" spans="2:25">
      <c r="B103" s="163">
        <v>97</v>
      </c>
      <c r="C103" s="161" t="s">
        <v>1066</v>
      </c>
      <c r="D103" s="162" t="s">
        <v>1070</v>
      </c>
      <c r="E103" s="144">
        <v>46212.666666666664</v>
      </c>
      <c r="F103" s="56">
        <f>$E103-VLOOKUP($G103,TimeZone!$L$4:$O$19,4,0)+VLOOKUP(TimeZone!$H$1,TimeZone!$C$4:$E$40,3,0)</f>
        <v>46212.916666666664</v>
      </c>
      <c r="G103" s="156">
        <v>12</v>
      </c>
      <c r="H103" s="86" t="str">
        <f>VLOOKUP($G103,Language!$D$103:$E$118,2,0)</f>
        <v>Boston</v>
      </c>
      <c r="I103" s="41"/>
      <c r="J103" s="41"/>
      <c r="K103" s="168">
        <v>1</v>
      </c>
      <c r="M103" s="521" t="str">
        <f>AssignThird!$F$4</f>
        <v>3-BEFIJ</v>
      </c>
      <c r="N103" s="522" t="str">
        <f t="shared" si="3"/>
        <v/>
      </c>
    </row>
    <row r="104" spans="2:25">
      <c r="B104" s="163">
        <v>98</v>
      </c>
      <c r="C104" s="161" t="s">
        <v>1068</v>
      </c>
      <c r="D104" s="162" t="s">
        <v>1072</v>
      </c>
      <c r="E104" s="144">
        <v>46213.625</v>
      </c>
      <c r="F104" s="56">
        <f>$E104-VLOOKUP($G104,TimeZone!$L$4:$O$19,4,0)+VLOOKUP(TimeZone!$H$1,TimeZone!$C$4:$E$40,3,0)</f>
        <v>46213.875</v>
      </c>
      <c r="G104" s="156">
        <v>8</v>
      </c>
      <c r="H104" s="86" t="str">
        <f>VLOOKUP($G104,Language!$D$103:$E$118,2,0)</f>
        <v>Los Angeles</v>
      </c>
      <c r="I104" s="40"/>
      <c r="J104" s="41"/>
      <c r="K104" s="168">
        <v>2</v>
      </c>
      <c r="M104" s="521" t="str">
        <f>AssignThird!$G$4</f>
        <v>3-ABCDF</v>
      </c>
      <c r="N104" s="522" t="str">
        <f t="shared" si="3"/>
        <v/>
      </c>
    </row>
    <row r="105" spans="2:25">
      <c r="B105" s="163">
        <v>99</v>
      </c>
      <c r="C105" s="161" t="s">
        <v>1067</v>
      </c>
      <c r="D105" s="162" t="s">
        <v>1071</v>
      </c>
      <c r="E105" s="144">
        <v>46214.708333333336</v>
      </c>
      <c r="F105" s="56">
        <f>$E105-VLOOKUP($G105,TimeZone!$L$4:$O$19,4,0)+VLOOKUP(TimeZone!$H$1,TimeZone!$C$4:$E$40,3,0)</f>
        <v>46214.958333333336</v>
      </c>
      <c r="G105" s="156">
        <v>13</v>
      </c>
      <c r="H105" s="86" t="str">
        <f>VLOOKUP($G105,Language!$D$103:$E$118,2,0)</f>
        <v>Miami</v>
      </c>
      <c r="I105" s="41"/>
      <c r="J105" s="41"/>
      <c r="K105" s="168">
        <v>3</v>
      </c>
      <c r="M105" s="521" t="str">
        <f>AssignThird!$H$4</f>
        <v>3-AEHIJ</v>
      </c>
      <c r="N105" s="522" t="str">
        <f t="shared" si="3"/>
        <v/>
      </c>
    </row>
    <row r="106" spans="2:25">
      <c r="B106" s="163">
        <v>100</v>
      </c>
      <c r="C106" s="161" t="s">
        <v>1069</v>
      </c>
      <c r="D106" s="162" t="s">
        <v>1073</v>
      </c>
      <c r="E106" s="144">
        <v>46214.875</v>
      </c>
      <c r="F106" s="56">
        <f>$E106-VLOOKUP($G106,TimeZone!$L$4:$O$19,4,0)+VLOOKUP(TimeZone!$H$1,TimeZone!$C$4:$E$40,3,0)</f>
        <v>46215.125</v>
      </c>
      <c r="G106" s="156">
        <v>4</v>
      </c>
      <c r="H106" s="86" t="str">
        <f>VLOOKUP($G106,Language!$D$103:$E$118,2,0)</f>
        <v>Kansas City</v>
      </c>
      <c r="I106" s="41"/>
      <c r="J106" s="41"/>
      <c r="K106" s="168">
        <v>4</v>
      </c>
      <c r="M106" s="521" t="str">
        <f>AssignThird!$I$4</f>
        <v>3-CDFGH</v>
      </c>
      <c r="N106" s="522" t="str">
        <f t="shared" si="3"/>
        <v/>
      </c>
      <c r="Y106" s="22"/>
    </row>
    <row r="107" spans="2:25">
      <c r="B107" s="57" t="s">
        <v>134</v>
      </c>
      <c r="C107" s="71"/>
      <c r="D107" s="71"/>
      <c r="E107" s="42"/>
      <c r="F107" s="43"/>
      <c r="G107" s="153"/>
      <c r="H107" s="43"/>
      <c r="I107" s="43"/>
      <c r="J107" s="43"/>
      <c r="K107" s="81"/>
      <c r="M107" s="521" t="str">
        <f>AssignThird!$J$4</f>
        <v>3-DEIJL</v>
      </c>
      <c r="N107" s="522" t="str">
        <f t="shared" si="3"/>
        <v/>
      </c>
      <c r="Y107" s="22"/>
    </row>
    <row r="108" spans="2:25" ht="15" thickBot="1">
      <c r="B108" s="163">
        <v>101</v>
      </c>
      <c r="C108" s="161" t="s">
        <v>1074</v>
      </c>
      <c r="D108" s="162" t="s">
        <v>1075</v>
      </c>
      <c r="E108" s="144">
        <v>46217.625</v>
      </c>
      <c r="F108" s="56">
        <f>$E108-VLOOKUP($G108,TimeZone!$L$4:$O$19,4,0)+VLOOKUP(TimeZone!$H$1,TimeZone!$C$4:$E$40,3,0)</f>
        <v>46217.875</v>
      </c>
      <c r="G108" s="156">
        <v>5</v>
      </c>
      <c r="H108" s="86" t="str">
        <f>VLOOKUP($G108,Language!$D$103:$E$118,2,0)</f>
        <v>Dallas</v>
      </c>
      <c r="I108" s="41"/>
      <c r="J108" s="41"/>
      <c r="K108" s="145" t="str">
        <f>Language!$E$170</f>
        <v>Halve finale 1</v>
      </c>
      <c r="M108" s="523" t="str">
        <f>AssignThird!$K$4</f>
        <v>3-EHIJK</v>
      </c>
      <c r="N108" s="524" t="str">
        <f t="shared" si="3"/>
        <v/>
      </c>
      <c r="Y108" s="22"/>
    </row>
    <row r="109" spans="2:25">
      <c r="B109" s="163">
        <v>102</v>
      </c>
      <c r="C109" s="161" t="s">
        <v>1076</v>
      </c>
      <c r="D109" s="162" t="s">
        <v>1077</v>
      </c>
      <c r="E109" s="144">
        <v>46218.625</v>
      </c>
      <c r="F109" s="56">
        <f>$E109-VLOOKUP($G109,TimeZone!$L$4:$O$19,4,0)+VLOOKUP(TimeZone!$H$1,TimeZone!$C$4:$E$40,3,0)</f>
        <v>46218.875</v>
      </c>
      <c r="G109" s="156">
        <v>7</v>
      </c>
      <c r="H109" s="86" t="str">
        <f>VLOOKUP($G109,Language!$D$103:$E$118,2,0)</f>
        <v>Atlanta</v>
      </c>
      <c r="I109" s="41"/>
      <c r="J109" s="41"/>
      <c r="K109" s="145" t="str">
        <f>Language!$E$171</f>
        <v>Halve finale 2</v>
      </c>
    </row>
    <row r="110" spans="2:25">
      <c r="B110" s="57" t="s">
        <v>99</v>
      </c>
      <c r="C110" s="71"/>
      <c r="D110" s="71"/>
      <c r="E110" s="42"/>
      <c r="F110" s="43"/>
      <c r="G110" s="153"/>
      <c r="H110" s="43"/>
      <c r="I110" s="43"/>
      <c r="J110" s="43"/>
      <c r="K110" s="81"/>
    </row>
    <row r="111" spans="2:25">
      <c r="B111" s="163">
        <v>103</v>
      </c>
      <c r="C111" s="161" t="s">
        <v>1078</v>
      </c>
      <c r="D111" s="162" t="s">
        <v>1079</v>
      </c>
      <c r="E111" s="144">
        <v>46221.708333333336</v>
      </c>
      <c r="F111" s="56">
        <f>$E111-VLOOKUP($G111,TimeZone!$L$4:$O$19,4,0)+VLOOKUP(TimeZone!$H$1,TimeZone!$C$4:$E$40,3,0)</f>
        <v>46221.958333333336</v>
      </c>
      <c r="G111" s="156">
        <v>13</v>
      </c>
      <c r="H111" s="86" t="str">
        <f>VLOOKUP($G111,Language!$D$103:$E$118,2,0)</f>
        <v>Miami</v>
      </c>
      <c r="I111" s="41"/>
      <c r="J111" s="41"/>
      <c r="K111" s="87" t="str">
        <f>Language!$E$172</f>
        <v>Derde plaats</v>
      </c>
    </row>
    <row r="112" spans="2:25">
      <c r="B112" s="57" t="s">
        <v>55</v>
      </c>
      <c r="C112" s="71"/>
      <c r="D112" s="71"/>
      <c r="E112" s="42"/>
      <c r="F112" s="43"/>
      <c r="G112" s="153"/>
      <c r="H112" s="43"/>
      <c r="I112" s="43"/>
      <c r="J112" s="43"/>
      <c r="K112" s="81"/>
    </row>
    <row r="113" spans="2:11" ht="15" thickBot="1">
      <c r="B113" s="164">
        <v>104</v>
      </c>
      <c r="C113" s="571" t="s">
        <v>1080</v>
      </c>
      <c r="D113" s="572" t="s">
        <v>1081</v>
      </c>
      <c r="E113" s="573">
        <v>46222.625</v>
      </c>
      <c r="F113" s="574">
        <f>$E113-VLOOKUP($G113,TimeZone!$L$4:$O$19,4,0)+VLOOKUP(TimeZone!$H$1,TimeZone!$C$4:$E$40,3,0)</f>
        <v>46222.875</v>
      </c>
      <c r="G113" s="575">
        <v>3</v>
      </c>
      <c r="H113" s="576" t="str">
        <f>VLOOKUP($G113,Language!$D$103:$E$118,2,0)</f>
        <v>New York/New Jersey</v>
      </c>
      <c r="I113" s="576"/>
      <c r="J113" s="577"/>
      <c r="K113" s="578" t="str">
        <f>Language!$E$173</f>
        <v>Finale</v>
      </c>
    </row>
    <row r="114" spans="2:11" ht="15" thickTop="1"/>
    <row r="115" spans="2:11"/>
    <row r="116" spans="2:11"/>
    <row r="117" spans="2:11"/>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4.5" zeroHeight="1"/>
  <cols>
    <col min="1" max="1" width="5.7265625" customWidth="1"/>
    <col min="2" max="2" width="11.453125" customWidth="1"/>
    <col min="3" max="3" width="20" customWidth="1"/>
    <col min="4" max="12" width="11.453125" customWidth="1"/>
    <col min="13" max="13" width="5" customWidth="1"/>
    <col min="14" max="16384" width="11.453125" hidden="1"/>
  </cols>
  <sheetData>
    <row r="1" spans="2:11"/>
    <row r="2" spans="2:11" ht="28.5">
      <c r="B2" s="385"/>
      <c r="C2" s="947" t="str">
        <f>Language!$E$128</f>
        <v>Toewijzing van beste derde plaatsen naar de ronde van 32</v>
      </c>
      <c r="D2" s="947"/>
      <c r="E2" s="947"/>
      <c r="F2" s="947"/>
      <c r="G2" s="947"/>
      <c r="H2" s="947"/>
      <c r="I2" s="947"/>
      <c r="J2" s="947"/>
      <c r="K2" s="947"/>
    </row>
    <row r="3" spans="2:11" ht="23.25" customHeight="1">
      <c r="C3" s="929" t="s">
        <v>1722</v>
      </c>
      <c r="D3" s="929"/>
      <c r="E3" s="929"/>
      <c r="F3" s="929"/>
      <c r="G3" s="929"/>
      <c r="H3" s="929"/>
      <c r="I3" s="929"/>
      <c r="J3" s="929"/>
      <c r="K3" s="929"/>
    </row>
    <row r="4" spans="2:11" ht="16" thickBot="1">
      <c r="C4" s="370"/>
      <c r="D4" s="386" t="s">
        <v>1706</v>
      </c>
      <c r="E4" s="386" t="s">
        <v>1709</v>
      </c>
      <c r="F4" s="386" t="s">
        <v>1707</v>
      </c>
      <c r="G4" s="386" t="s">
        <v>1702</v>
      </c>
      <c r="H4" s="386" t="s">
        <v>1708</v>
      </c>
      <c r="I4" s="386" t="s">
        <v>1703</v>
      </c>
      <c r="J4" s="386" t="s">
        <v>1705</v>
      </c>
      <c r="K4" s="386" t="s">
        <v>1704</v>
      </c>
    </row>
    <row r="5" spans="2:11" ht="31.5" thickTop="1">
      <c r="C5" s="948" t="str">
        <f>Language!$E$177</f>
        <v>Groeps-combinatie:</v>
      </c>
      <c r="D5" s="371" t="str">
        <f>Language!$E$178</f>
        <v>Eerste in groep</v>
      </c>
      <c r="E5" s="372" t="str">
        <f>Language!$E$178</f>
        <v>Eerste in groep</v>
      </c>
      <c r="F5" s="372" t="str">
        <f>Language!$E$178</f>
        <v>Eerste in groep</v>
      </c>
      <c r="G5" s="372" t="str">
        <f>Language!$E$178</f>
        <v>Eerste in groep</v>
      </c>
      <c r="H5" s="372" t="str">
        <f>Language!$E$178</f>
        <v>Eerste in groep</v>
      </c>
      <c r="I5" s="372" t="str">
        <f>Language!$E$178</f>
        <v>Eerste in groep</v>
      </c>
      <c r="J5" s="372" t="str">
        <f>Language!$E$178</f>
        <v>Eerste in groep</v>
      </c>
      <c r="K5" s="373" t="str">
        <f>Language!$E$178</f>
        <v>Eerste in groep</v>
      </c>
    </row>
    <row r="6" spans="2:11" ht="15.5">
      <c r="C6" s="949"/>
      <c r="D6" s="374" t="s">
        <v>24</v>
      </c>
      <c r="E6" s="375" t="s">
        <v>20</v>
      </c>
      <c r="F6" s="375" t="s">
        <v>25</v>
      </c>
      <c r="G6" s="375" t="s">
        <v>22</v>
      </c>
      <c r="H6" s="375" t="s">
        <v>272</v>
      </c>
      <c r="I6" s="375" t="s">
        <v>32</v>
      </c>
      <c r="J6" s="375" t="s">
        <v>33</v>
      </c>
      <c r="K6" s="376" t="s">
        <v>34</v>
      </c>
    </row>
    <row r="7" spans="2:11" ht="47" thickBot="1">
      <c r="C7" s="950"/>
      <c r="D7" s="377" t="str">
        <f>Language!$E$179</f>
        <v>tegen derde in groep</v>
      </c>
      <c r="E7" s="378" t="str">
        <f>Language!$E$179</f>
        <v>tegen derde in groep</v>
      </c>
      <c r="F7" s="378" t="str">
        <f>Language!$E$179</f>
        <v>tegen derde in groep</v>
      </c>
      <c r="G7" s="378" t="str">
        <f>Language!$E$179</f>
        <v>tegen derde in groep</v>
      </c>
      <c r="H7" s="378" t="str">
        <f>Language!$E$179</f>
        <v>tegen derde in groep</v>
      </c>
      <c r="I7" s="378" t="str">
        <f>Language!$E$179</f>
        <v>tegen derde in groep</v>
      </c>
      <c r="J7" s="378" t="str">
        <f>Language!$E$179</f>
        <v>tegen derde in groep</v>
      </c>
      <c r="K7" s="379" t="str">
        <f>Language!$E$179</f>
        <v>tegen derde in groep</v>
      </c>
    </row>
    <row r="8" spans="2:11" ht="15.5">
      <c r="C8" s="387" t="s">
        <v>1620</v>
      </c>
      <c r="D8" s="389" t="s">
        <v>22</v>
      </c>
      <c r="E8" s="390" t="s">
        <v>841</v>
      </c>
      <c r="F8" s="390" t="s">
        <v>32</v>
      </c>
      <c r="G8" s="390" t="s">
        <v>23</v>
      </c>
      <c r="H8" s="391" t="s">
        <v>31</v>
      </c>
      <c r="I8" s="391" t="s">
        <v>272</v>
      </c>
      <c r="J8" s="391" t="s">
        <v>34</v>
      </c>
      <c r="K8" s="392" t="s">
        <v>33</v>
      </c>
    </row>
    <row r="9" spans="2:11" ht="15.5">
      <c r="C9" s="387" t="s">
        <v>1619</v>
      </c>
      <c r="D9" s="389" t="s">
        <v>31</v>
      </c>
      <c r="E9" s="390" t="s">
        <v>272</v>
      </c>
      <c r="F9" s="390" t="s">
        <v>32</v>
      </c>
      <c r="G9" s="390" t="s">
        <v>25</v>
      </c>
      <c r="H9" s="393" t="s">
        <v>841</v>
      </c>
      <c r="I9" s="393" t="s">
        <v>23</v>
      </c>
      <c r="J9" s="393" t="s">
        <v>34</v>
      </c>
      <c r="K9" s="394" t="s">
        <v>33</v>
      </c>
    </row>
    <row r="10" spans="2:11" ht="15.5">
      <c r="C10" s="387" t="s">
        <v>1618</v>
      </c>
      <c r="D10" s="389" t="s">
        <v>22</v>
      </c>
      <c r="E10" s="390" t="s">
        <v>841</v>
      </c>
      <c r="F10" s="390" t="s">
        <v>32</v>
      </c>
      <c r="G10" s="390" t="s">
        <v>25</v>
      </c>
      <c r="H10" s="393" t="s">
        <v>31</v>
      </c>
      <c r="I10" s="393" t="s">
        <v>272</v>
      </c>
      <c r="J10" s="393" t="s">
        <v>34</v>
      </c>
      <c r="K10" s="394" t="s">
        <v>33</v>
      </c>
    </row>
    <row r="11" spans="2:11" ht="15.5">
      <c r="C11" s="387" t="s">
        <v>1617</v>
      </c>
      <c r="D11" s="389" t="s">
        <v>22</v>
      </c>
      <c r="E11" s="390" t="s">
        <v>841</v>
      </c>
      <c r="F11" s="390" t="s">
        <v>32</v>
      </c>
      <c r="G11" s="390" t="s">
        <v>25</v>
      </c>
      <c r="H11" s="393" t="s">
        <v>31</v>
      </c>
      <c r="I11" s="393" t="s">
        <v>23</v>
      </c>
      <c r="J11" s="393" t="s">
        <v>34</v>
      </c>
      <c r="K11" s="394" t="s">
        <v>33</v>
      </c>
    </row>
    <row r="12" spans="2:11" ht="15.5">
      <c r="C12" s="387" t="s">
        <v>1616</v>
      </c>
      <c r="D12" s="389" t="s">
        <v>22</v>
      </c>
      <c r="E12" s="390" t="s">
        <v>272</v>
      </c>
      <c r="F12" s="390" t="s">
        <v>32</v>
      </c>
      <c r="G12" s="390" t="s">
        <v>25</v>
      </c>
      <c r="H12" s="393" t="s">
        <v>841</v>
      </c>
      <c r="I12" s="393" t="s">
        <v>23</v>
      </c>
      <c r="J12" s="393" t="s">
        <v>34</v>
      </c>
      <c r="K12" s="394" t="s">
        <v>33</v>
      </c>
    </row>
    <row r="13" spans="2:11" ht="15.5">
      <c r="C13" s="387" t="s">
        <v>1615</v>
      </c>
      <c r="D13" s="389" t="s">
        <v>22</v>
      </c>
      <c r="E13" s="390" t="s">
        <v>272</v>
      </c>
      <c r="F13" s="390" t="s">
        <v>841</v>
      </c>
      <c r="G13" s="390" t="s">
        <v>25</v>
      </c>
      <c r="H13" s="393" t="s">
        <v>31</v>
      </c>
      <c r="I13" s="393" t="s">
        <v>23</v>
      </c>
      <c r="J13" s="393" t="s">
        <v>34</v>
      </c>
      <c r="K13" s="394" t="s">
        <v>33</v>
      </c>
    </row>
    <row r="14" spans="2:11" ht="15.5">
      <c r="C14" s="387" t="s">
        <v>1614</v>
      </c>
      <c r="D14" s="389" t="s">
        <v>22</v>
      </c>
      <c r="E14" s="390" t="s">
        <v>272</v>
      </c>
      <c r="F14" s="390" t="s">
        <v>32</v>
      </c>
      <c r="G14" s="390" t="s">
        <v>25</v>
      </c>
      <c r="H14" s="393" t="s">
        <v>31</v>
      </c>
      <c r="I14" s="393" t="s">
        <v>23</v>
      </c>
      <c r="J14" s="393" t="s">
        <v>34</v>
      </c>
      <c r="K14" s="394" t="s">
        <v>33</v>
      </c>
    </row>
    <row r="15" spans="2:11" ht="15.5">
      <c r="C15" s="387" t="s">
        <v>1613</v>
      </c>
      <c r="D15" s="389" t="s">
        <v>22</v>
      </c>
      <c r="E15" s="390" t="s">
        <v>272</v>
      </c>
      <c r="F15" s="390" t="s">
        <v>841</v>
      </c>
      <c r="G15" s="390" t="s">
        <v>25</v>
      </c>
      <c r="H15" s="393" t="s">
        <v>31</v>
      </c>
      <c r="I15" s="393" t="s">
        <v>23</v>
      </c>
      <c r="J15" s="393" t="s">
        <v>34</v>
      </c>
      <c r="K15" s="394" t="s">
        <v>32</v>
      </c>
    </row>
    <row r="16" spans="2:11" ht="15.5">
      <c r="C16" s="387" t="s">
        <v>1612</v>
      </c>
      <c r="D16" s="389" t="s">
        <v>22</v>
      </c>
      <c r="E16" s="390" t="s">
        <v>272</v>
      </c>
      <c r="F16" s="390" t="s">
        <v>841</v>
      </c>
      <c r="G16" s="390" t="s">
        <v>25</v>
      </c>
      <c r="H16" s="393" t="s">
        <v>31</v>
      </c>
      <c r="I16" s="393" t="s">
        <v>23</v>
      </c>
      <c r="J16" s="393" t="s">
        <v>32</v>
      </c>
      <c r="K16" s="394" t="s">
        <v>33</v>
      </c>
    </row>
    <row r="17" spans="3:11" ht="15.5">
      <c r="C17" s="387" t="s">
        <v>1611</v>
      </c>
      <c r="D17" s="389" t="s">
        <v>31</v>
      </c>
      <c r="E17" s="390" t="s">
        <v>272</v>
      </c>
      <c r="F17" s="390" t="s">
        <v>32</v>
      </c>
      <c r="G17" s="390" t="s">
        <v>21</v>
      </c>
      <c r="H17" s="393" t="s">
        <v>841</v>
      </c>
      <c r="I17" s="393" t="s">
        <v>23</v>
      </c>
      <c r="J17" s="393" t="s">
        <v>34</v>
      </c>
      <c r="K17" s="394" t="s">
        <v>33</v>
      </c>
    </row>
    <row r="18" spans="3:11" ht="15.5">
      <c r="C18" s="387" t="s">
        <v>1610</v>
      </c>
      <c r="D18" s="389" t="s">
        <v>22</v>
      </c>
      <c r="E18" s="390" t="s">
        <v>841</v>
      </c>
      <c r="F18" s="390" t="s">
        <v>32</v>
      </c>
      <c r="G18" s="390" t="s">
        <v>21</v>
      </c>
      <c r="H18" s="393" t="s">
        <v>31</v>
      </c>
      <c r="I18" s="393" t="s">
        <v>272</v>
      </c>
      <c r="J18" s="393" t="s">
        <v>34</v>
      </c>
      <c r="K18" s="394" t="s">
        <v>33</v>
      </c>
    </row>
    <row r="19" spans="3:11" ht="15.5">
      <c r="C19" s="387" t="s">
        <v>1609</v>
      </c>
      <c r="D19" s="389" t="s">
        <v>22</v>
      </c>
      <c r="E19" s="390" t="s">
        <v>841</v>
      </c>
      <c r="F19" s="390" t="s">
        <v>32</v>
      </c>
      <c r="G19" s="390" t="s">
        <v>21</v>
      </c>
      <c r="H19" s="393" t="s">
        <v>31</v>
      </c>
      <c r="I19" s="393" t="s">
        <v>23</v>
      </c>
      <c r="J19" s="393" t="s">
        <v>34</v>
      </c>
      <c r="K19" s="394" t="s">
        <v>33</v>
      </c>
    </row>
    <row r="20" spans="3:11" ht="15.5">
      <c r="C20" s="387" t="s">
        <v>1608</v>
      </c>
      <c r="D20" s="389" t="s">
        <v>22</v>
      </c>
      <c r="E20" s="390" t="s">
        <v>272</v>
      </c>
      <c r="F20" s="390" t="s">
        <v>32</v>
      </c>
      <c r="G20" s="390" t="s">
        <v>21</v>
      </c>
      <c r="H20" s="393" t="s">
        <v>841</v>
      </c>
      <c r="I20" s="393" t="s">
        <v>23</v>
      </c>
      <c r="J20" s="393" t="s">
        <v>34</v>
      </c>
      <c r="K20" s="394" t="s">
        <v>33</v>
      </c>
    </row>
    <row r="21" spans="3:11" ht="15.5">
      <c r="C21" s="387" t="s">
        <v>1607</v>
      </c>
      <c r="D21" s="389" t="s">
        <v>22</v>
      </c>
      <c r="E21" s="390" t="s">
        <v>272</v>
      </c>
      <c r="F21" s="390" t="s">
        <v>841</v>
      </c>
      <c r="G21" s="390" t="s">
        <v>21</v>
      </c>
      <c r="H21" s="393" t="s">
        <v>31</v>
      </c>
      <c r="I21" s="393" t="s">
        <v>23</v>
      </c>
      <c r="J21" s="393" t="s">
        <v>34</v>
      </c>
      <c r="K21" s="394" t="s">
        <v>33</v>
      </c>
    </row>
    <row r="22" spans="3:11" ht="15.5">
      <c r="C22" s="387" t="s">
        <v>1606</v>
      </c>
      <c r="D22" s="389" t="s">
        <v>22</v>
      </c>
      <c r="E22" s="390" t="s">
        <v>272</v>
      </c>
      <c r="F22" s="390" t="s">
        <v>32</v>
      </c>
      <c r="G22" s="390" t="s">
        <v>21</v>
      </c>
      <c r="H22" s="393" t="s">
        <v>31</v>
      </c>
      <c r="I22" s="393" t="s">
        <v>23</v>
      </c>
      <c r="J22" s="393" t="s">
        <v>34</v>
      </c>
      <c r="K22" s="394" t="s">
        <v>33</v>
      </c>
    </row>
    <row r="23" spans="3:11" ht="15.5">
      <c r="C23" s="387" t="s">
        <v>1605</v>
      </c>
      <c r="D23" s="389" t="s">
        <v>22</v>
      </c>
      <c r="E23" s="390" t="s">
        <v>272</v>
      </c>
      <c r="F23" s="390" t="s">
        <v>841</v>
      </c>
      <c r="G23" s="390" t="s">
        <v>21</v>
      </c>
      <c r="H23" s="393" t="s">
        <v>31</v>
      </c>
      <c r="I23" s="393" t="s">
        <v>23</v>
      </c>
      <c r="J23" s="393" t="s">
        <v>34</v>
      </c>
      <c r="K23" s="394" t="s">
        <v>32</v>
      </c>
    </row>
    <row r="24" spans="3:11" ht="15.5">
      <c r="C24" s="387" t="s">
        <v>1604</v>
      </c>
      <c r="D24" s="389" t="s">
        <v>22</v>
      </c>
      <c r="E24" s="390" t="s">
        <v>272</v>
      </c>
      <c r="F24" s="390" t="s">
        <v>841</v>
      </c>
      <c r="G24" s="390" t="s">
        <v>21</v>
      </c>
      <c r="H24" s="393" t="s">
        <v>31</v>
      </c>
      <c r="I24" s="393" t="s">
        <v>23</v>
      </c>
      <c r="J24" s="393" t="s">
        <v>32</v>
      </c>
      <c r="K24" s="394" t="s">
        <v>33</v>
      </c>
    </row>
    <row r="25" spans="3:11" ht="15.5">
      <c r="C25" s="387" t="s">
        <v>1603</v>
      </c>
      <c r="D25" s="389" t="s">
        <v>31</v>
      </c>
      <c r="E25" s="390" t="s">
        <v>272</v>
      </c>
      <c r="F25" s="390" t="s">
        <v>32</v>
      </c>
      <c r="G25" s="390" t="s">
        <v>21</v>
      </c>
      <c r="H25" s="393" t="s">
        <v>841</v>
      </c>
      <c r="I25" s="393" t="s">
        <v>25</v>
      </c>
      <c r="J25" s="393" t="s">
        <v>34</v>
      </c>
      <c r="K25" s="394" t="s">
        <v>33</v>
      </c>
    </row>
    <row r="26" spans="3:11" ht="15.5">
      <c r="C26" s="387" t="s">
        <v>1602</v>
      </c>
      <c r="D26" s="389" t="s">
        <v>21</v>
      </c>
      <c r="E26" s="390" t="s">
        <v>841</v>
      </c>
      <c r="F26" s="390" t="s">
        <v>32</v>
      </c>
      <c r="G26" s="390" t="s">
        <v>25</v>
      </c>
      <c r="H26" s="393" t="s">
        <v>31</v>
      </c>
      <c r="I26" s="393" t="s">
        <v>23</v>
      </c>
      <c r="J26" s="393" t="s">
        <v>34</v>
      </c>
      <c r="K26" s="394" t="s">
        <v>33</v>
      </c>
    </row>
    <row r="27" spans="3:11" ht="15.5">
      <c r="C27" s="387" t="s">
        <v>1601</v>
      </c>
      <c r="D27" s="389" t="s">
        <v>21</v>
      </c>
      <c r="E27" s="390" t="s">
        <v>272</v>
      </c>
      <c r="F27" s="390" t="s">
        <v>32</v>
      </c>
      <c r="G27" s="390" t="s">
        <v>25</v>
      </c>
      <c r="H27" s="393" t="s">
        <v>841</v>
      </c>
      <c r="I27" s="393" t="s">
        <v>23</v>
      </c>
      <c r="J27" s="393" t="s">
        <v>34</v>
      </c>
      <c r="K27" s="394" t="s">
        <v>33</v>
      </c>
    </row>
    <row r="28" spans="3:11" ht="15.5">
      <c r="C28" s="387" t="s">
        <v>1600</v>
      </c>
      <c r="D28" s="389" t="s">
        <v>21</v>
      </c>
      <c r="E28" s="390" t="s">
        <v>272</v>
      </c>
      <c r="F28" s="390" t="s">
        <v>841</v>
      </c>
      <c r="G28" s="390" t="s">
        <v>25</v>
      </c>
      <c r="H28" s="393" t="s">
        <v>31</v>
      </c>
      <c r="I28" s="393" t="s">
        <v>23</v>
      </c>
      <c r="J28" s="393" t="s">
        <v>34</v>
      </c>
      <c r="K28" s="394" t="s">
        <v>33</v>
      </c>
    </row>
    <row r="29" spans="3:11" ht="15.5">
      <c r="C29" s="387" t="s">
        <v>1599</v>
      </c>
      <c r="D29" s="389" t="s">
        <v>21</v>
      </c>
      <c r="E29" s="390" t="s">
        <v>272</v>
      </c>
      <c r="F29" s="390" t="s">
        <v>32</v>
      </c>
      <c r="G29" s="390" t="s">
        <v>25</v>
      </c>
      <c r="H29" s="393" t="s">
        <v>31</v>
      </c>
      <c r="I29" s="393" t="s">
        <v>23</v>
      </c>
      <c r="J29" s="393" t="s">
        <v>34</v>
      </c>
      <c r="K29" s="394" t="s">
        <v>33</v>
      </c>
    </row>
    <row r="30" spans="3:11" ht="15.5">
      <c r="C30" s="387" t="s">
        <v>1598</v>
      </c>
      <c r="D30" s="389" t="s">
        <v>21</v>
      </c>
      <c r="E30" s="390" t="s">
        <v>272</v>
      </c>
      <c r="F30" s="390" t="s">
        <v>841</v>
      </c>
      <c r="G30" s="390" t="s">
        <v>25</v>
      </c>
      <c r="H30" s="393" t="s">
        <v>31</v>
      </c>
      <c r="I30" s="393" t="s">
        <v>23</v>
      </c>
      <c r="J30" s="393" t="s">
        <v>34</v>
      </c>
      <c r="K30" s="394" t="s">
        <v>32</v>
      </c>
    </row>
    <row r="31" spans="3:11" ht="15.5">
      <c r="C31" s="387" t="s">
        <v>1597</v>
      </c>
      <c r="D31" s="389" t="s">
        <v>21</v>
      </c>
      <c r="E31" s="390" t="s">
        <v>272</v>
      </c>
      <c r="F31" s="390" t="s">
        <v>841</v>
      </c>
      <c r="G31" s="390" t="s">
        <v>25</v>
      </c>
      <c r="H31" s="393" t="s">
        <v>31</v>
      </c>
      <c r="I31" s="393" t="s">
        <v>23</v>
      </c>
      <c r="J31" s="393" t="s">
        <v>32</v>
      </c>
      <c r="K31" s="394" t="s">
        <v>33</v>
      </c>
    </row>
    <row r="32" spans="3:11" ht="15.5">
      <c r="C32" s="387" t="s">
        <v>1596</v>
      </c>
      <c r="D32" s="389" t="s">
        <v>22</v>
      </c>
      <c r="E32" s="390" t="s">
        <v>841</v>
      </c>
      <c r="F32" s="390" t="s">
        <v>32</v>
      </c>
      <c r="G32" s="390" t="s">
        <v>21</v>
      </c>
      <c r="H32" s="393" t="s">
        <v>31</v>
      </c>
      <c r="I32" s="393" t="s">
        <v>25</v>
      </c>
      <c r="J32" s="393" t="s">
        <v>34</v>
      </c>
      <c r="K32" s="394" t="s">
        <v>33</v>
      </c>
    </row>
    <row r="33" spans="3:11" ht="15.5">
      <c r="C33" s="387" t="s">
        <v>1595</v>
      </c>
      <c r="D33" s="389" t="s">
        <v>22</v>
      </c>
      <c r="E33" s="390" t="s">
        <v>272</v>
      </c>
      <c r="F33" s="390" t="s">
        <v>32</v>
      </c>
      <c r="G33" s="390" t="s">
        <v>21</v>
      </c>
      <c r="H33" s="393" t="s">
        <v>841</v>
      </c>
      <c r="I33" s="393" t="s">
        <v>25</v>
      </c>
      <c r="J33" s="393" t="s">
        <v>34</v>
      </c>
      <c r="K33" s="394" t="s">
        <v>33</v>
      </c>
    </row>
    <row r="34" spans="3:11" ht="15.5">
      <c r="C34" s="387" t="s">
        <v>1594</v>
      </c>
      <c r="D34" s="389" t="s">
        <v>22</v>
      </c>
      <c r="E34" s="390" t="s">
        <v>272</v>
      </c>
      <c r="F34" s="390" t="s">
        <v>841</v>
      </c>
      <c r="G34" s="390" t="s">
        <v>21</v>
      </c>
      <c r="H34" s="393" t="s">
        <v>31</v>
      </c>
      <c r="I34" s="393" t="s">
        <v>25</v>
      </c>
      <c r="J34" s="393" t="s">
        <v>34</v>
      </c>
      <c r="K34" s="394" t="s">
        <v>33</v>
      </c>
    </row>
    <row r="35" spans="3:11" ht="15.5">
      <c r="C35" s="387" t="s">
        <v>1593</v>
      </c>
      <c r="D35" s="389" t="s">
        <v>22</v>
      </c>
      <c r="E35" s="390" t="s">
        <v>272</v>
      </c>
      <c r="F35" s="390" t="s">
        <v>32</v>
      </c>
      <c r="G35" s="390" t="s">
        <v>21</v>
      </c>
      <c r="H35" s="393" t="s">
        <v>31</v>
      </c>
      <c r="I35" s="393" t="s">
        <v>25</v>
      </c>
      <c r="J35" s="393" t="s">
        <v>34</v>
      </c>
      <c r="K35" s="394" t="s">
        <v>33</v>
      </c>
    </row>
    <row r="36" spans="3:11" ht="15.5">
      <c r="C36" s="387" t="s">
        <v>1592</v>
      </c>
      <c r="D36" s="389" t="s">
        <v>22</v>
      </c>
      <c r="E36" s="390" t="s">
        <v>272</v>
      </c>
      <c r="F36" s="390" t="s">
        <v>841</v>
      </c>
      <c r="G36" s="390" t="s">
        <v>21</v>
      </c>
      <c r="H36" s="393" t="s">
        <v>31</v>
      </c>
      <c r="I36" s="393" t="s">
        <v>25</v>
      </c>
      <c r="J36" s="393" t="s">
        <v>34</v>
      </c>
      <c r="K36" s="394" t="s">
        <v>32</v>
      </c>
    </row>
    <row r="37" spans="3:11" ht="15.5">
      <c r="C37" s="387" t="s">
        <v>1591</v>
      </c>
      <c r="D37" s="389" t="s">
        <v>22</v>
      </c>
      <c r="E37" s="390" t="s">
        <v>272</v>
      </c>
      <c r="F37" s="390" t="s">
        <v>841</v>
      </c>
      <c r="G37" s="390" t="s">
        <v>21</v>
      </c>
      <c r="H37" s="393" t="s">
        <v>31</v>
      </c>
      <c r="I37" s="393" t="s">
        <v>25</v>
      </c>
      <c r="J37" s="393" t="s">
        <v>32</v>
      </c>
      <c r="K37" s="394" t="s">
        <v>33</v>
      </c>
    </row>
    <row r="38" spans="3:11" ht="15.5">
      <c r="C38" s="387" t="s">
        <v>1590</v>
      </c>
      <c r="D38" s="389" t="s">
        <v>21</v>
      </c>
      <c r="E38" s="390" t="s">
        <v>841</v>
      </c>
      <c r="F38" s="390" t="s">
        <v>22</v>
      </c>
      <c r="G38" s="390" t="s">
        <v>25</v>
      </c>
      <c r="H38" s="393" t="s">
        <v>32</v>
      </c>
      <c r="I38" s="393" t="s">
        <v>23</v>
      </c>
      <c r="J38" s="393" t="s">
        <v>34</v>
      </c>
      <c r="K38" s="394" t="s">
        <v>33</v>
      </c>
    </row>
    <row r="39" spans="3:11" ht="15.5">
      <c r="C39" s="387" t="s">
        <v>1589</v>
      </c>
      <c r="D39" s="389" t="s">
        <v>21</v>
      </c>
      <c r="E39" s="390" t="s">
        <v>841</v>
      </c>
      <c r="F39" s="390" t="s">
        <v>22</v>
      </c>
      <c r="G39" s="390" t="s">
        <v>25</v>
      </c>
      <c r="H39" s="393" t="s">
        <v>31</v>
      </c>
      <c r="I39" s="393" t="s">
        <v>23</v>
      </c>
      <c r="J39" s="393" t="s">
        <v>34</v>
      </c>
      <c r="K39" s="394" t="s">
        <v>33</v>
      </c>
    </row>
    <row r="40" spans="3:11" ht="15.5">
      <c r="C40" s="387" t="s">
        <v>1588</v>
      </c>
      <c r="D40" s="389" t="s">
        <v>21</v>
      </c>
      <c r="E40" s="390" t="s">
        <v>22</v>
      </c>
      <c r="F40" s="390" t="s">
        <v>32</v>
      </c>
      <c r="G40" s="390" t="s">
        <v>25</v>
      </c>
      <c r="H40" s="393" t="s">
        <v>31</v>
      </c>
      <c r="I40" s="393" t="s">
        <v>23</v>
      </c>
      <c r="J40" s="393" t="s">
        <v>34</v>
      </c>
      <c r="K40" s="394" t="s">
        <v>33</v>
      </c>
    </row>
    <row r="41" spans="3:11" ht="15.5">
      <c r="C41" s="387" t="s">
        <v>1587</v>
      </c>
      <c r="D41" s="389" t="s">
        <v>21</v>
      </c>
      <c r="E41" s="390" t="s">
        <v>841</v>
      </c>
      <c r="F41" s="390" t="s">
        <v>22</v>
      </c>
      <c r="G41" s="390" t="s">
        <v>25</v>
      </c>
      <c r="H41" s="393" t="s">
        <v>31</v>
      </c>
      <c r="I41" s="393" t="s">
        <v>23</v>
      </c>
      <c r="J41" s="393" t="s">
        <v>34</v>
      </c>
      <c r="K41" s="394" t="s">
        <v>32</v>
      </c>
    </row>
    <row r="42" spans="3:11" ht="15.5">
      <c r="C42" s="387" t="s">
        <v>1586</v>
      </c>
      <c r="D42" s="389" t="s">
        <v>21</v>
      </c>
      <c r="E42" s="390" t="s">
        <v>841</v>
      </c>
      <c r="F42" s="390" t="s">
        <v>22</v>
      </c>
      <c r="G42" s="390" t="s">
        <v>25</v>
      </c>
      <c r="H42" s="393" t="s">
        <v>31</v>
      </c>
      <c r="I42" s="393" t="s">
        <v>23</v>
      </c>
      <c r="J42" s="393" t="s">
        <v>32</v>
      </c>
      <c r="K42" s="394" t="s">
        <v>33</v>
      </c>
    </row>
    <row r="43" spans="3:11" ht="15.5">
      <c r="C43" s="387" t="s">
        <v>1585</v>
      </c>
      <c r="D43" s="389" t="s">
        <v>21</v>
      </c>
      <c r="E43" s="390" t="s">
        <v>272</v>
      </c>
      <c r="F43" s="390" t="s">
        <v>22</v>
      </c>
      <c r="G43" s="390" t="s">
        <v>25</v>
      </c>
      <c r="H43" s="393" t="s">
        <v>841</v>
      </c>
      <c r="I43" s="393" t="s">
        <v>23</v>
      </c>
      <c r="J43" s="393" t="s">
        <v>34</v>
      </c>
      <c r="K43" s="394" t="s">
        <v>33</v>
      </c>
    </row>
    <row r="44" spans="3:11" ht="15.5">
      <c r="C44" s="387" t="s">
        <v>1584</v>
      </c>
      <c r="D44" s="389" t="s">
        <v>21</v>
      </c>
      <c r="E44" s="390" t="s">
        <v>272</v>
      </c>
      <c r="F44" s="390" t="s">
        <v>22</v>
      </c>
      <c r="G44" s="390" t="s">
        <v>25</v>
      </c>
      <c r="H44" s="393" t="s">
        <v>32</v>
      </c>
      <c r="I44" s="393" t="s">
        <v>23</v>
      </c>
      <c r="J44" s="393" t="s">
        <v>34</v>
      </c>
      <c r="K44" s="394" t="s">
        <v>33</v>
      </c>
    </row>
    <row r="45" spans="3:11" ht="15.5">
      <c r="C45" s="387" t="s">
        <v>1583</v>
      </c>
      <c r="D45" s="389" t="s">
        <v>21</v>
      </c>
      <c r="E45" s="390" t="s">
        <v>272</v>
      </c>
      <c r="F45" s="390" t="s">
        <v>22</v>
      </c>
      <c r="G45" s="390" t="s">
        <v>25</v>
      </c>
      <c r="H45" s="393" t="s">
        <v>841</v>
      </c>
      <c r="I45" s="393" t="s">
        <v>23</v>
      </c>
      <c r="J45" s="393" t="s">
        <v>34</v>
      </c>
      <c r="K45" s="394" t="s">
        <v>32</v>
      </c>
    </row>
    <row r="46" spans="3:11" ht="15.5">
      <c r="C46" s="387" t="s">
        <v>1582</v>
      </c>
      <c r="D46" s="389" t="s">
        <v>21</v>
      </c>
      <c r="E46" s="390" t="s">
        <v>272</v>
      </c>
      <c r="F46" s="390" t="s">
        <v>22</v>
      </c>
      <c r="G46" s="390" t="s">
        <v>25</v>
      </c>
      <c r="H46" s="393" t="s">
        <v>841</v>
      </c>
      <c r="I46" s="393" t="s">
        <v>23</v>
      </c>
      <c r="J46" s="393" t="s">
        <v>32</v>
      </c>
      <c r="K46" s="394" t="s">
        <v>33</v>
      </c>
    </row>
    <row r="47" spans="3:11" ht="15.5">
      <c r="C47" s="387" t="s">
        <v>1581</v>
      </c>
      <c r="D47" s="389" t="s">
        <v>21</v>
      </c>
      <c r="E47" s="390" t="s">
        <v>272</v>
      </c>
      <c r="F47" s="390" t="s">
        <v>22</v>
      </c>
      <c r="G47" s="390" t="s">
        <v>25</v>
      </c>
      <c r="H47" s="393" t="s">
        <v>31</v>
      </c>
      <c r="I47" s="393" t="s">
        <v>23</v>
      </c>
      <c r="J47" s="393" t="s">
        <v>34</v>
      </c>
      <c r="K47" s="394" t="s">
        <v>33</v>
      </c>
    </row>
    <row r="48" spans="3:11" ht="15.5">
      <c r="C48" s="387" t="s">
        <v>1580</v>
      </c>
      <c r="D48" s="389" t="s">
        <v>21</v>
      </c>
      <c r="E48" s="390" t="s">
        <v>272</v>
      </c>
      <c r="F48" s="390" t="s">
        <v>841</v>
      </c>
      <c r="G48" s="390" t="s">
        <v>25</v>
      </c>
      <c r="H48" s="393" t="s">
        <v>31</v>
      </c>
      <c r="I48" s="393" t="s">
        <v>23</v>
      </c>
      <c r="J48" s="393" t="s">
        <v>34</v>
      </c>
      <c r="K48" s="394" t="s">
        <v>22</v>
      </c>
    </row>
    <row r="49" spans="3:11" ht="15.5">
      <c r="C49" s="387" t="s">
        <v>1579</v>
      </c>
      <c r="D49" s="389" t="s">
        <v>21</v>
      </c>
      <c r="E49" s="390" t="s">
        <v>272</v>
      </c>
      <c r="F49" s="390" t="s">
        <v>841</v>
      </c>
      <c r="G49" s="390" t="s">
        <v>25</v>
      </c>
      <c r="H49" s="393" t="s">
        <v>31</v>
      </c>
      <c r="I49" s="393" t="s">
        <v>23</v>
      </c>
      <c r="J49" s="393" t="s">
        <v>22</v>
      </c>
      <c r="K49" s="394" t="s">
        <v>33</v>
      </c>
    </row>
    <row r="50" spans="3:11" ht="15.5">
      <c r="C50" s="387" t="s">
        <v>1578</v>
      </c>
      <c r="D50" s="389" t="s">
        <v>21</v>
      </c>
      <c r="E50" s="390" t="s">
        <v>272</v>
      </c>
      <c r="F50" s="390" t="s">
        <v>22</v>
      </c>
      <c r="G50" s="390" t="s">
        <v>25</v>
      </c>
      <c r="H50" s="393" t="s">
        <v>31</v>
      </c>
      <c r="I50" s="393" t="s">
        <v>23</v>
      </c>
      <c r="J50" s="393" t="s">
        <v>34</v>
      </c>
      <c r="K50" s="394" t="s">
        <v>32</v>
      </c>
    </row>
    <row r="51" spans="3:11" ht="15.5">
      <c r="C51" s="387" t="s">
        <v>1577</v>
      </c>
      <c r="D51" s="389" t="s">
        <v>21</v>
      </c>
      <c r="E51" s="390" t="s">
        <v>272</v>
      </c>
      <c r="F51" s="390" t="s">
        <v>22</v>
      </c>
      <c r="G51" s="390" t="s">
        <v>25</v>
      </c>
      <c r="H51" s="393" t="s">
        <v>31</v>
      </c>
      <c r="I51" s="393" t="s">
        <v>23</v>
      </c>
      <c r="J51" s="393" t="s">
        <v>32</v>
      </c>
      <c r="K51" s="394" t="s">
        <v>33</v>
      </c>
    </row>
    <row r="52" spans="3:11" ht="15.5">
      <c r="C52" s="387" t="s">
        <v>1576</v>
      </c>
      <c r="D52" s="389" t="s">
        <v>21</v>
      </c>
      <c r="E52" s="390" t="s">
        <v>272</v>
      </c>
      <c r="F52" s="390" t="s">
        <v>841</v>
      </c>
      <c r="G52" s="390" t="s">
        <v>25</v>
      </c>
      <c r="H52" s="393" t="s">
        <v>31</v>
      </c>
      <c r="I52" s="393" t="s">
        <v>23</v>
      </c>
      <c r="J52" s="393" t="s">
        <v>22</v>
      </c>
      <c r="K52" s="394" t="s">
        <v>32</v>
      </c>
    </row>
    <row r="53" spans="3:11" ht="15.5">
      <c r="C53" s="387" t="s">
        <v>1575</v>
      </c>
      <c r="D53" s="389" t="s">
        <v>31</v>
      </c>
      <c r="E53" s="390" t="s">
        <v>841</v>
      </c>
      <c r="F53" s="390" t="s">
        <v>20</v>
      </c>
      <c r="G53" s="390" t="s">
        <v>23</v>
      </c>
      <c r="H53" s="393" t="s">
        <v>32</v>
      </c>
      <c r="I53" s="393" t="s">
        <v>272</v>
      </c>
      <c r="J53" s="393" t="s">
        <v>34</v>
      </c>
      <c r="K53" s="394" t="s">
        <v>33</v>
      </c>
    </row>
    <row r="54" spans="3:11" ht="15.5">
      <c r="C54" s="387" t="s">
        <v>1574</v>
      </c>
      <c r="D54" s="389" t="s">
        <v>22</v>
      </c>
      <c r="E54" s="390" t="s">
        <v>841</v>
      </c>
      <c r="F54" s="390" t="s">
        <v>32</v>
      </c>
      <c r="G54" s="390" t="s">
        <v>20</v>
      </c>
      <c r="H54" s="393" t="s">
        <v>31</v>
      </c>
      <c r="I54" s="393" t="s">
        <v>272</v>
      </c>
      <c r="J54" s="393" t="s">
        <v>34</v>
      </c>
      <c r="K54" s="394" t="s">
        <v>33</v>
      </c>
    </row>
    <row r="55" spans="3:11" ht="15.5">
      <c r="C55" s="387" t="s">
        <v>1573</v>
      </c>
      <c r="D55" s="389" t="s">
        <v>22</v>
      </c>
      <c r="E55" s="390" t="s">
        <v>841</v>
      </c>
      <c r="F55" s="390" t="s">
        <v>20</v>
      </c>
      <c r="G55" s="390" t="s">
        <v>23</v>
      </c>
      <c r="H55" s="393" t="s">
        <v>32</v>
      </c>
      <c r="I55" s="393" t="s">
        <v>31</v>
      </c>
      <c r="J55" s="393" t="s">
        <v>34</v>
      </c>
      <c r="K55" s="394" t="s">
        <v>33</v>
      </c>
    </row>
    <row r="56" spans="3:11" ht="15.5">
      <c r="C56" s="387" t="s">
        <v>1572</v>
      </c>
      <c r="D56" s="389" t="s">
        <v>22</v>
      </c>
      <c r="E56" s="390" t="s">
        <v>841</v>
      </c>
      <c r="F56" s="390" t="s">
        <v>20</v>
      </c>
      <c r="G56" s="390" t="s">
        <v>23</v>
      </c>
      <c r="H56" s="393" t="s">
        <v>32</v>
      </c>
      <c r="I56" s="393" t="s">
        <v>272</v>
      </c>
      <c r="J56" s="393" t="s">
        <v>34</v>
      </c>
      <c r="K56" s="394" t="s">
        <v>33</v>
      </c>
    </row>
    <row r="57" spans="3:11" ht="15.5">
      <c r="C57" s="387" t="s">
        <v>1571</v>
      </c>
      <c r="D57" s="389" t="s">
        <v>22</v>
      </c>
      <c r="E57" s="390" t="s">
        <v>841</v>
      </c>
      <c r="F57" s="390" t="s">
        <v>20</v>
      </c>
      <c r="G57" s="390" t="s">
        <v>23</v>
      </c>
      <c r="H57" s="393" t="s">
        <v>31</v>
      </c>
      <c r="I57" s="393" t="s">
        <v>272</v>
      </c>
      <c r="J57" s="393" t="s">
        <v>34</v>
      </c>
      <c r="K57" s="394" t="s">
        <v>33</v>
      </c>
    </row>
    <row r="58" spans="3:11" ht="15.5">
      <c r="C58" s="387" t="s">
        <v>1570</v>
      </c>
      <c r="D58" s="389" t="s">
        <v>22</v>
      </c>
      <c r="E58" s="390" t="s">
        <v>272</v>
      </c>
      <c r="F58" s="390" t="s">
        <v>20</v>
      </c>
      <c r="G58" s="390" t="s">
        <v>23</v>
      </c>
      <c r="H58" s="393" t="s">
        <v>32</v>
      </c>
      <c r="I58" s="393" t="s">
        <v>31</v>
      </c>
      <c r="J58" s="393" t="s">
        <v>34</v>
      </c>
      <c r="K58" s="394" t="s">
        <v>33</v>
      </c>
    </row>
    <row r="59" spans="3:11" ht="15.5">
      <c r="C59" s="387" t="s">
        <v>1569</v>
      </c>
      <c r="D59" s="389" t="s">
        <v>22</v>
      </c>
      <c r="E59" s="390" t="s">
        <v>841</v>
      </c>
      <c r="F59" s="390" t="s">
        <v>20</v>
      </c>
      <c r="G59" s="390" t="s">
        <v>23</v>
      </c>
      <c r="H59" s="393" t="s">
        <v>31</v>
      </c>
      <c r="I59" s="393" t="s">
        <v>272</v>
      </c>
      <c r="J59" s="393" t="s">
        <v>34</v>
      </c>
      <c r="K59" s="394" t="s">
        <v>32</v>
      </c>
    </row>
    <row r="60" spans="3:11" ht="15.5">
      <c r="C60" s="387" t="s">
        <v>1568</v>
      </c>
      <c r="D60" s="389" t="s">
        <v>22</v>
      </c>
      <c r="E60" s="390" t="s">
        <v>841</v>
      </c>
      <c r="F60" s="390" t="s">
        <v>20</v>
      </c>
      <c r="G60" s="390" t="s">
        <v>23</v>
      </c>
      <c r="H60" s="393" t="s">
        <v>31</v>
      </c>
      <c r="I60" s="393" t="s">
        <v>272</v>
      </c>
      <c r="J60" s="393" t="s">
        <v>32</v>
      </c>
      <c r="K60" s="394" t="s">
        <v>33</v>
      </c>
    </row>
    <row r="61" spans="3:11" ht="15.5">
      <c r="C61" s="387" t="s">
        <v>1567</v>
      </c>
      <c r="D61" s="389" t="s">
        <v>31</v>
      </c>
      <c r="E61" s="390" t="s">
        <v>841</v>
      </c>
      <c r="F61" s="390" t="s">
        <v>20</v>
      </c>
      <c r="G61" s="390" t="s">
        <v>25</v>
      </c>
      <c r="H61" s="393" t="s">
        <v>32</v>
      </c>
      <c r="I61" s="393" t="s">
        <v>272</v>
      </c>
      <c r="J61" s="393" t="s">
        <v>34</v>
      </c>
      <c r="K61" s="394" t="s">
        <v>33</v>
      </c>
    </row>
    <row r="62" spans="3:11" ht="15.5">
      <c r="C62" s="387" t="s">
        <v>1566</v>
      </c>
      <c r="D62" s="389" t="s">
        <v>31</v>
      </c>
      <c r="E62" s="390" t="s">
        <v>841</v>
      </c>
      <c r="F62" s="390" t="s">
        <v>20</v>
      </c>
      <c r="G62" s="390" t="s">
        <v>25</v>
      </c>
      <c r="H62" s="393" t="s">
        <v>32</v>
      </c>
      <c r="I62" s="393" t="s">
        <v>23</v>
      </c>
      <c r="J62" s="393" t="s">
        <v>34</v>
      </c>
      <c r="K62" s="394" t="s">
        <v>33</v>
      </c>
    </row>
    <row r="63" spans="3:11" ht="15.5">
      <c r="C63" s="387" t="s">
        <v>1565</v>
      </c>
      <c r="D63" s="389" t="s">
        <v>32</v>
      </c>
      <c r="E63" s="390" t="s">
        <v>272</v>
      </c>
      <c r="F63" s="390" t="s">
        <v>20</v>
      </c>
      <c r="G63" s="390" t="s">
        <v>25</v>
      </c>
      <c r="H63" s="393" t="s">
        <v>841</v>
      </c>
      <c r="I63" s="393" t="s">
        <v>23</v>
      </c>
      <c r="J63" s="393" t="s">
        <v>34</v>
      </c>
      <c r="K63" s="394" t="s">
        <v>33</v>
      </c>
    </row>
    <row r="64" spans="3:11" ht="15.5">
      <c r="C64" s="387" t="s">
        <v>1564</v>
      </c>
      <c r="D64" s="389" t="s">
        <v>31</v>
      </c>
      <c r="E64" s="390" t="s">
        <v>272</v>
      </c>
      <c r="F64" s="390" t="s">
        <v>20</v>
      </c>
      <c r="G64" s="390" t="s">
        <v>25</v>
      </c>
      <c r="H64" s="393" t="s">
        <v>841</v>
      </c>
      <c r="I64" s="393" t="s">
        <v>23</v>
      </c>
      <c r="J64" s="393" t="s">
        <v>34</v>
      </c>
      <c r="K64" s="394" t="s">
        <v>33</v>
      </c>
    </row>
    <row r="65" spans="3:11" ht="15.5">
      <c r="C65" s="387" t="s">
        <v>1563</v>
      </c>
      <c r="D65" s="389" t="s">
        <v>31</v>
      </c>
      <c r="E65" s="390" t="s">
        <v>272</v>
      </c>
      <c r="F65" s="390" t="s">
        <v>20</v>
      </c>
      <c r="G65" s="390" t="s">
        <v>25</v>
      </c>
      <c r="H65" s="393" t="s">
        <v>32</v>
      </c>
      <c r="I65" s="393" t="s">
        <v>23</v>
      </c>
      <c r="J65" s="393" t="s">
        <v>34</v>
      </c>
      <c r="K65" s="394" t="s">
        <v>33</v>
      </c>
    </row>
    <row r="66" spans="3:11" ht="15.5">
      <c r="C66" s="387" t="s">
        <v>1562</v>
      </c>
      <c r="D66" s="389" t="s">
        <v>31</v>
      </c>
      <c r="E66" s="390" t="s">
        <v>272</v>
      </c>
      <c r="F66" s="390" t="s">
        <v>20</v>
      </c>
      <c r="G66" s="390" t="s">
        <v>25</v>
      </c>
      <c r="H66" s="393" t="s">
        <v>841</v>
      </c>
      <c r="I66" s="393" t="s">
        <v>23</v>
      </c>
      <c r="J66" s="393" t="s">
        <v>34</v>
      </c>
      <c r="K66" s="394" t="s">
        <v>32</v>
      </c>
    </row>
    <row r="67" spans="3:11" ht="15.5">
      <c r="C67" s="387" t="s">
        <v>1561</v>
      </c>
      <c r="D67" s="389" t="s">
        <v>31</v>
      </c>
      <c r="E67" s="390" t="s">
        <v>272</v>
      </c>
      <c r="F67" s="390" t="s">
        <v>20</v>
      </c>
      <c r="G67" s="390" t="s">
        <v>25</v>
      </c>
      <c r="H67" s="393" t="s">
        <v>841</v>
      </c>
      <c r="I67" s="393" t="s">
        <v>23</v>
      </c>
      <c r="J67" s="393" t="s">
        <v>32</v>
      </c>
      <c r="K67" s="394" t="s">
        <v>33</v>
      </c>
    </row>
    <row r="68" spans="3:11" ht="15.5">
      <c r="C68" s="387" t="s">
        <v>1560</v>
      </c>
      <c r="D68" s="389" t="s">
        <v>22</v>
      </c>
      <c r="E68" s="390" t="s">
        <v>841</v>
      </c>
      <c r="F68" s="390" t="s">
        <v>20</v>
      </c>
      <c r="G68" s="390" t="s">
        <v>25</v>
      </c>
      <c r="H68" s="393" t="s">
        <v>32</v>
      </c>
      <c r="I68" s="393" t="s">
        <v>31</v>
      </c>
      <c r="J68" s="393" t="s">
        <v>34</v>
      </c>
      <c r="K68" s="394" t="s">
        <v>33</v>
      </c>
    </row>
    <row r="69" spans="3:11" ht="15.5">
      <c r="C69" s="387" t="s">
        <v>1559</v>
      </c>
      <c r="D69" s="389" t="s">
        <v>22</v>
      </c>
      <c r="E69" s="390" t="s">
        <v>841</v>
      </c>
      <c r="F69" s="390" t="s">
        <v>20</v>
      </c>
      <c r="G69" s="390" t="s">
        <v>25</v>
      </c>
      <c r="H69" s="393" t="s">
        <v>32</v>
      </c>
      <c r="I69" s="393" t="s">
        <v>272</v>
      </c>
      <c r="J69" s="393" t="s">
        <v>34</v>
      </c>
      <c r="K69" s="394" t="s">
        <v>33</v>
      </c>
    </row>
    <row r="70" spans="3:11" ht="15.5">
      <c r="C70" s="387" t="s">
        <v>1558</v>
      </c>
      <c r="D70" s="389" t="s">
        <v>22</v>
      </c>
      <c r="E70" s="390" t="s">
        <v>841</v>
      </c>
      <c r="F70" s="390" t="s">
        <v>20</v>
      </c>
      <c r="G70" s="390" t="s">
        <v>25</v>
      </c>
      <c r="H70" s="393" t="s">
        <v>31</v>
      </c>
      <c r="I70" s="393" t="s">
        <v>272</v>
      </c>
      <c r="J70" s="393" t="s">
        <v>34</v>
      </c>
      <c r="K70" s="394" t="s">
        <v>33</v>
      </c>
    </row>
    <row r="71" spans="3:11" ht="15.5">
      <c r="C71" s="387" t="s">
        <v>1557</v>
      </c>
      <c r="D71" s="389" t="s">
        <v>22</v>
      </c>
      <c r="E71" s="390" t="s">
        <v>272</v>
      </c>
      <c r="F71" s="390" t="s">
        <v>20</v>
      </c>
      <c r="G71" s="390" t="s">
        <v>25</v>
      </c>
      <c r="H71" s="393" t="s">
        <v>32</v>
      </c>
      <c r="I71" s="393" t="s">
        <v>31</v>
      </c>
      <c r="J71" s="393" t="s">
        <v>34</v>
      </c>
      <c r="K71" s="394" t="s">
        <v>33</v>
      </c>
    </row>
    <row r="72" spans="3:11" ht="15.5">
      <c r="C72" s="387" t="s">
        <v>1556</v>
      </c>
      <c r="D72" s="389" t="s">
        <v>22</v>
      </c>
      <c r="E72" s="390" t="s">
        <v>841</v>
      </c>
      <c r="F72" s="390" t="s">
        <v>20</v>
      </c>
      <c r="G72" s="390" t="s">
        <v>25</v>
      </c>
      <c r="H72" s="393" t="s">
        <v>31</v>
      </c>
      <c r="I72" s="393" t="s">
        <v>272</v>
      </c>
      <c r="J72" s="393" t="s">
        <v>34</v>
      </c>
      <c r="K72" s="394" t="s">
        <v>32</v>
      </c>
    </row>
    <row r="73" spans="3:11" ht="15.5">
      <c r="C73" s="387" t="s">
        <v>1555</v>
      </c>
      <c r="D73" s="389" t="s">
        <v>22</v>
      </c>
      <c r="E73" s="390" t="s">
        <v>841</v>
      </c>
      <c r="F73" s="390" t="s">
        <v>20</v>
      </c>
      <c r="G73" s="390" t="s">
        <v>25</v>
      </c>
      <c r="H73" s="393" t="s">
        <v>31</v>
      </c>
      <c r="I73" s="393" t="s">
        <v>272</v>
      </c>
      <c r="J73" s="393" t="s">
        <v>32</v>
      </c>
      <c r="K73" s="394" t="s">
        <v>33</v>
      </c>
    </row>
    <row r="74" spans="3:11" ht="15.5">
      <c r="C74" s="387" t="s">
        <v>1554</v>
      </c>
      <c r="D74" s="389" t="s">
        <v>22</v>
      </c>
      <c r="E74" s="390" t="s">
        <v>841</v>
      </c>
      <c r="F74" s="390" t="s">
        <v>20</v>
      </c>
      <c r="G74" s="390" t="s">
        <v>25</v>
      </c>
      <c r="H74" s="393" t="s">
        <v>32</v>
      </c>
      <c r="I74" s="393" t="s">
        <v>23</v>
      </c>
      <c r="J74" s="393" t="s">
        <v>34</v>
      </c>
      <c r="K74" s="394" t="s">
        <v>33</v>
      </c>
    </row>
    <row r="75" spans="3:11" ht="15.5">
      <c r="C75" s="387" t="s">
        <v>1553</v>
      </c>
      <c r="D75" s="389" t="s">
        <v>22</v>
      </c>
      <c r="E75" s="390" t="s">
        <v>841</v>
      </c>
      <c r="F75" s="390" t="s">
        <v>20</v>
      </c>
      <c r="G75" s="390" t="s">
        <v>25</v>
      </c>
      <c r="H75" s="393" t="s">
        <v>31</v>
      </c>
      <c r="I75" s="393" t="s">
        <v>23</v>
      </c>
      <c r="J75" s="393" t="s">
        <v>34</v>
      </c>
      <c r="K75" s="394" t="s">
        <v>33</v>
      </c>
    </row>
    <row r="76" spans="3:11" ht="15.5">
      <c r="C76" s="387" t="s">
        <v>1552</v>
      </c>
      <c r="D76" s="389" t="s">
        <v>22</v>
      </c>
      <c r="E76" s="390" t="s">
        <v>32</v>
      </c>
      <c r="F76" s="390" t="s">
        <v>20</v>
      </c>
      <c r="G76" s="390" t="s">
        <v>25</v>
      </c>
      <c r="H76" s="393" t="s">
        <v>31</v>
      </c>
      <c r="I76" s="393" t="s">
        <v>23</v>
      </c>
      <c r="J76" s="393" t="s">
        <v>34</v>
      </c>
      <c r="K76" s="394" t="s">
        <v>33</v>
      </c>
    </row>
    <row r="77" spans="3:11" ht="15.5">
      <c r="C77" s="387" t="s">
        <v>1551</v>
      </c>
      <c r="D77" s="389" t="s">
        <v>22</v>
      </c>
      <c r="E77" s="390" t="s">
        <v>841</v>
      </c>
      <c r="F77" s="390" t="s">
        <v>20</v>
      </c>
      <c r="G77" s="390" t="s">
        <v>25</v>
      </c>
      <c r="H77" s="393" t="s">
        <v>31</v>
      </c>
      <c r="I77" s="393" t="s">
        <v>23</v>
      </c>
      <c r="J77" s="393" t="s">
        <v>34</v>
      </c>
      <c r="K77" s="394" t="s">
        <v>32</v>
      </c>
    </row>
    <row r="78" spans="3:11" ht="15.5">
      <c r="C78" s="387" t="s">
        <v>1550</v>
      </c>
      <c r="D78" s="389" t="s">
        <v>22</v>
      </c>
      <c r="E78" s="390" t="s">
        <v>841</v>
      </c>
      <c r="F78" s="390" t="s">
        <v>20</v>
      </c>
      <c r="G78" s="390" t="s">
        <v>25</v>
      </c>
      <c r="H78" s="393" t="s">
        <v>31</v>
      </c>
      <c r="I78" s="393" t="s">
        <v>23</v>
      </c>
      <c r="J78" s="393" t="s">
        <v>32</v>
      </c>
      <c r="K78" s="394" t="s">
        <v>33</v>
      </c>
    </row>
    <row r="79" spans="3:11" ht="15.5">
      <c r="C79" s="387" t="s">
        <v>1549</v>
      </c>
      <c r="D79" s="389" t="s">
        <v>22</v>
      </c>
      <c r="E79" s="390" t="s">
        <v>272</v>
      </c>
      <c r="F79" s="390" t="s">
        <v>20</v>
      </c>
      <c r="G79" s="390" t="s">
        <v>25</v>
      </c>
      <c r="H79" s="393" t="s">
        <v>841</v>
      </c>
      <c r="I79" s="393" t="s">
        <v>23</v>
      </c>
      <c r="J79" s="393" t="s">
        <v>34</v>
      </c>
      <c r="K79" s="394" t="s">
        <v>33</v>
      </c>
    </row>
    <row r="80" spans="3:11" ht="15.5">
      <c r="C80" s="387" t="s">
        <v>1548</v>
      </c>
      <c r="D80" s="389" t="s">
        <v>22</v>
      </c>
      <c r="E80" s="390" t="s">
        <v>272</v>
      </c>
      <c r="F80" s="390" t="s">
        <v>20</v>
      </c>
      <c r="G80" s="390" t="s">
        <v>25</v>
      </c>
      <c r="H80" s="393" t="s">
        <v>32</v>
      </c>
      <c r="I80" s="393" t="s">
        <v>23</v>
      </c>
      <c r="J80" s="393" t="s">
        <v>34</v>
      </c>
      <c r="K80" s="394" t="s">
        <v>33</v>
      </c>
    </row>
    <row r="81" spans="3:11" ht="15.5">
      <c r="C81" s="387" t="s">
        <v>1547</v>
      </c>
      <c r="D81" s="389" t="s">
        <v>22</v>
      </c>
      <c r="E81" s="390" t="s">
        <v>272</v>
      </c>
      <c r="F81" s="390" t="s">
        <v>20</v>
      </c>
      <c r="G81" s="390" t="s">
        <v>25</v>
      </c>
      <c r="H81" s="393" t="s">
        <v>841</v>
      </c>
      <c r="I81" s="393" t="s">
        <v>23</v>
      </c>
      <c r="J81" s="393" t="s">
        <v>34</v>
      </c>
      <c r="K81" s="394" t="s">
        <v>32</v>
      </c>
    </row>
    <row r="82" spans="3:11" ht="15.5">
      <c r="C82" s="387" t="s">
        <v>1546</v>
      </c>
      <c r="D82" s="389" t="s">
        <v>22</v>
      </c>
      <c r="E82" s="390" t="s">
        <v>272</v>
      </c>
      <c r="F82" s="390" t="s">
        <v>20</v>
      </c>
      <c r="G82" s="390" t="s">
        <v>25</v>
      </c>
      <c r="H82" s="393" t="s">
        <v>841</v>
      </c>
      <c r="I82" s="393" t="s">
        <v>23</v>
      </c>
      <c r="J82" s="393" t="s">
        <v>32</v>
      </c>
      <c r="K82" s="394" t="s">
        <v>33</v>
      </c>
    </row>
    <row r="83" spans="3:11" ht="15.5">
      <c r="C83" s="387" t="s">
        <v>1545</v>
      </c>
      <c r="D83" s="389" t="s">
        <v>22</v>
      </c>
      <c r="E83" s="390" t="s">
        <v>272</v>
      </c>
      <c r="F83" s="390" t="s">
        <v>20</v>
      </c>
      <c r="G83" s="390" t="s">
        <v>25</v>
      </c>
      <c r="H83" s="393" t="s">
        <v>31</v>
      </c>
      <c r="I83" s="393" t="s">
        <v>23</v>
      </c>
      <c r="J83" s="393" t="s">
        <v>34</v>
      </c>
      <c r="K83" s="394" t="s">
        <v>33</v>
      </c>
    </row>
    <row r="84" spans="3:11" ht="15.5">
      <c r="C84" s="387" t="s">
        <v>1544</v>
      </c>
      <c r="D84" s="389" t="s">
        <v>31</v>
      </c>
      <c r="E84" s="390" t="s">
        <v>272</v>
      </c>
      <c r="F84" s="390" t="s">
        <v>20</v>
      </c>
      <c r="G84" s="390" t="s">
        <v>25</v>
      </c>
      <c r="H84" s="393" t="s">
        <v>841</v>
      </c>
      <c r="I84" s="393" t="s">
        <v>23</v>
      </c>
      <c r="J84" s="393" t="s">
        <v>34</v>
      </c>
      <c r="K84" s="394" t="s">
        <v>22</v>
      </c>
    </row>
    <row r="85" spans="3:11" ht="15.5">
      <c r="C85" s="387" t="s">
        <v>1543</v>
      </c>
      <c r="D85" s="389" t="s">
        <v>31</v>
      </c>
      <c r="E85" s="390" t="s">
        <v>272</v>
      </c>
      <c r="F85" s="390" t="s">
        <v>20</v>
      </c>
      <c r="G85" s="390" t="s">
        <v>25</v>
      </c>
      <c r="H85" s="393" t="s">
        <v>841</v>
      </c>
      <c r="I85" s="393" t="s">
        <v>23</v>
      </c>
      <c r="J85" s="393" t="s">
        <v>22</v>
      </c>
      <c r="K85" s="394" t="s">
        <v>33</v>
      </c>
    </row>
    <row r="86" spans="3:11" ht="15.5">
      <c r="C86" s="387" t="s">
        <v>1542</v>
      </c>
      <c r="D86" s="389" t="s">
        <v>22</v>
      </c>
      <c r="E86" s="390" t="s">
        <v>272</v>
      </c>
      <c r="F86" s="390" t="s">
        <v>20</v>
      </c>
      <c r="G86" s="390" t="s">
        <v>25</v>
      </c>
      <c r="H86" s="393" t="s">
        <v>31</v>
      </c>
      <c r="I86" s="393" t="s">
        <v>23</v>
      </c>
      <c r="J86" s="393" t="s">
        <v>34</v>
      </c>
      <c r="K86" s="394" t="s">
        <v>32</v>
      </c>
    </row>
    <row r="87" spans="3:11" ht="15.5">
      <c r="C87" s="387" t="s">
        <v>1541</v>
      </c>
      <c r="D87" s="389" t="s">
        <v>22</v>
      </c>
      <c r="E87" s="390" t="s">
        <v>272</v>
      </c>
      <c r="F87" s="390" t="s">
        <v>20</v>
      </c>
      <c r="G87" s="390" t="s">
        <v>25</v>
      </c>
      <c r="H87" s="393" t="s">
        <v>31</v>
      </c>
      <c r="I87" s="393" t="s">
        <v>23</v>
      </c>
      <c r="J87" s="393" t="s">
        <v>32</v>
      </c>
      <c r="K87" s="394" t="s">
        <v>33</v>
      </c>
    </row>
    <row r="88" spans="3:11" ht="15.5">
      <c r="C88" s="387" t="s">
        <v>1540</v>
      </c>
      <c r="D88" s="389" t="s">
        <v>31</v>
      </c>
      <c r="E88" s="390" t="s">
        <v>272</v>
      </c>
      <c r="F88" s="390" t="s">
        <v>20</v>
      </c>
      <c r="G88" s="390" t="s">
        <v>25</v>
      </c>
      <c r="H88" s="393" t="s">
        <v>841</v>
      </c>
      <c r="I88" s="393" t="s">
        <v>23</v>
      </c>
      <c r="J88" s="393" t="s">
        <v>22</v>
      </c>
      <c r="K88" s="394" t="s">
        <v>32</v>
      </c>
    </row>
    <row r="89" spans="3:11" ht="15.5">
      <c r="C89" s="387" t="s">
        <v>1539</v>
      </c>
      <c r="D89" s="389" t="s">
        <v>31</v>
      </c>
      <c r="E89" s="390" t="s">
        <v>841</v>
      </c>
      <c r="F89" s="390" t="s">
        <v>20</v>
      </c>
      <c r="G89" s="390" t="s">
        <v>21</v>
      </c>
      <c r="H89" s="393" t="s">
        <v>32</v>
      </c>
      <c r="I89" s="393" t="s">
        <v>272</v>
      </c>
      <c r="J89" s="393" t="s">
        <v>34</v>
      </c>
      <c r="K89" s="394" t="s">
        <v>33</v>
      </c>
    </row>
    <row r="90" spans="3:11" ht="15.5">
      <c r="C90" s="387" t="s">
        <v>1538</v>
      </c>
      <c r="D90" s="389" t="s">
        <v>31</v>
      </c>
      <c r="E90" s="390" t="s">
        <v>841</v>
      </c>
      <c r="F90" s="390" t="s">
        <v>20</v>
      </c>
      <c r="G90" s="390" t="s">
        <v>21</v>
      </c>
      <c r="H90" s="393" t="s">
        <v>32</v>
      </c>
      <c r="I90" s="393" t="s">
        <v>23</v>
      </c>
      <c r="J90" s="393" t="s">
        <v>34</v>
      </c>
      <c r="K90" s="394" t="s">
        <v>33</v>
      </c>
    </row>
    <row r="91" spans="3:11" ht="15.5">
      <c r="C91" s="387" t="s">
        <v>1537</v>
      </c>
      <c r="D91" s="389" t="s">
        <v>32</v>
      </c>
      <c r="E91" s="390" t="s">
        <v>272</v>
      </c>
      <c r="F91" s="390" t="s">
        <v>20</v>
      </c>
      <c r="G91" s="390" t="s">
        <v>21</v>
      </c>
      <c r="H91" s="393" t="s">
        <v>841</v>
      </c>
      <c r="I91" s="393" t="s">
        <v>23</v>
      </c>
      <c r="J91" s="393" t="s">
        <v>34</v>
      </c>
      <c r="K91" s="394" t="s">
        <v>33</v>
      </c>
    </row>
    <row r="92" spans="3:11" ht="15.5">
      <c r="C92" s="387" t="s">
        <v>1536</v>
      </c>
      <c r="D92" s="389" t="s">
        <v>31</v>
      </c>
      <c r="E92" s="390" t="s">
        <v>272</v>
      </c>
      <c r="F92" s="390" t="s">
        <v>20</v>
      </c>
      <c r="G92" s="390" t="s">
        <v>21</v>
      </c>
      <c r="H92" s="393" t="s">
        <v>841</v>
      </c>
      <c r="I92" s="393" t="s">
        <v>23</v>
      </c>
      <c r="J92" s="393" t="s">
        <v>34</v>
      </c>
      <c r="K92" s="394" t="s">
        <v>33</v>
      </c>
    </row>
    <row r="93" spans="3:11" ht="15.5">
      <c r="C93" s="387" t="s">
        <v>1535</v>
      </c>
      <c r="D93" s="389" t="s">
        <v>31</v>
      </c>
      <c r="E93" s="390" t="s">
        <v>272</v>
      </c>
      <c r="F93" s="390" t="s">
        <v>20</v>
      </c>
      <c r="G93" s="390" t="s">
        <v>21</v>
      </c>
      <c r="H93" s="393" t="s">
        <v>32</v>
      </c>
      <c r="I93" s="393" t="s">
        <v>23</v>
      </c>
      <c r="J93" s="393" t="s">
        <v>34</v>
      </c>
      <c r="K93" s="394" t="s">
        <v>33</v>
      </c>
    </row>
    <row r="94" spans="3:11" ht="15.5">
      <c r="C94" s="387" t="s">
        <v>1534</v>
      </c>
      <c r="D94" s="389" t="s">
        <v>31</v>
      </c>
      <c r="E94" s="390" t="s">
        <v>272</v>
      </c>
      <c r="F94" s="390" t="s">
        <v>20</v>
      </c>
      <c r="G94" s="390" t="s">
        <v>21</v>
      </c>
      <c r="H94" s="393" t="s">
        <v>841</v>
      </c>
      <c r="I94" s="393" t="s">
        <v>23</v>
      </c>
      <c r="J94" s="393" t="s">
        <v>34</v>
      </c>
      <c r="K94" s="394" t="s">
        <v>32</v>
      </c>
    </row>
    <row r="95" spans="3:11" ht="15.5">
      <c r="C95" s="387" t="s">
        <v>1533</v>
      </c>
      <c r="D95" s="389" t="s">
        <v>31</v>
      </c>
      <c r="E95" s="390" t="s">
        <v>272</v>
      </c>
      <c r="F95" s="390" t="s">
        <v>20</v>
      </c>
      <c r="G95" s="390" t="s">
        <v>21</v>
      </c>
      <c r="H95" s="393" t="s">
        <v>841</v>
      </c>
      <c r="I95" s="393" t="s">
        <v>23</v>
      </c>
      <c r="J95" s="393" t="s">
        <v>32</v>
      </c>
      <c r="K95" s="394" t="s">
        <v>33</v>
      </c>
    </row>
    <row r="96" spans="3:11" ht="15.5">
      <c r="C96" s="387" t="s">
        <v>1532</v>
      </c>
      <c r="D96" s="389" t="s">
        <v>22</v>
      </c>
      <c r="E96" s="390" t="s">
        <v>841</v>
      </c>
      <c r="F96" s="390" t="s">
        <v>20</v>
      </c>
      <c r="G96" s="390" t="s">
        <v>21</v>
      </c>
      <c r="H96" s="393" t="s">
        <v>32</v>
      </c>
      <c r="I96" s="393" t="s">
        <v>31</v>
      </c>
      <c r="J96" s="393" t="s">
        <v>34</v>
      </c>
      <c r="K96" s="394" t="s">
        <v>33</v>
      </c>
    </row>
    <row r="97" spans="3:11" ht="15.5">
      <c r="C97" s="387" t="s">
        <v>1531</v>
      </c>
      <c r="D97" s="389" t="s">
        <v>22</v>
      </c>
      <c r="E97" s="390" t="s">
        <v>841</v>
      </c>
      <c r="F97" s="390" t="s">
        <v>20</v>
      </c>
      <c r="G97" s="390" t="s">
        <v>21</v>
      </c>
      <c r="H97" s="393" t="s">
        <v>32</v>
      </c>
      <c r="I97" s="393" t="s">
        <v>272</v>
      </c>
      <c r="J97" s="393" t="s">
        <v>34</v>
      </c>
      <c r="K97" s="394" t="s">
        <v>33</v>
      </c>
    </row>
    <row r="98" spans="3:11" ht="15.5">
      <c r="C98" s="387" t="s">
        <v>1530</v>
      </c>
      <c r="D98" s="389" t="s">
        <v>22</v>
      </c>
      <c r="E98" s="390" t="s">
        <v>841</v>
      </c>
      <c r="F98" s="390" t="s">
        <v>20</v>
      </c>
      <c r="G98" s="390" t="s">
        <v>21</v>
      </c>
      <c r="H98" s="393" t="s">
        <v>31</v>
      </c>
      <c r="I98" s="393" t="s">
        <v>272</v>
      </c>
      <c r="J98" s="393" t="s">
        <v>34</v>
      </c>
      <c r="K98" s="394" t="s">
        <v>33</v>
      </c>
    </row>
    <row r="99" spans="3:11" ht="15.5">
      <c r="C99" s="387" t="s">
        <v>1529</v>
      </c>
      <c r="D99" s="389" t="s">
        <v>22</v>
      </c>
      <c r="E99" s="390" t="s">
        <v>272</v>
      </c>
      <c r="F99" s="390" t="s">
        <v>20</v>
      </c>
      <c r="G99" s="390" t="s">
        <v>21</v>
      </c>
      <c r="H99" s="393" t="s">
        <v>32</v>
      </c>
      <c r="I99" s="393" t="s">
        <v>31</v>
      </c>
      <c r="J99" s="393" t="s">
        <v>34</v>
      </c>
      <c r="K99" s="394" t="s">
        <v>33</v>
      </c>
    </row>
    <row r="100" spans="3:11" ht="15.5">
      <c r="C100" s="387" t="s">
        <v>1528</v>
      </c>
      <c r="D100" s="389" t="s">
        <v>22</v>
      </c>
      <c r="E100" s="390" t="s">
        <v>841</v>
      </c>
      <c r="F100" s="390" t="s">
        <v>20</v>
      </c>
      <c r="G100" s="390" t="s">
        <v>21</v>
      </c>
      <c r="H100" s="393" t="s">
        <v>31</v>
      </c>
      <c r="I100" s="393" t="s">
        <v>272</v>
      </c>
      <c r="J100" s="393" t="s">
        <v>34</v>
      </c>
      <c r="K100" s="394" t="s">
        <v>32</v>
      </c>
    </row>
    <row r="101" spans="3:11" ht="15.5">
      <c r="C101" s="387" t="s">
        <v>1527</v>
      </c>
      <c r="D101" s="389" t="s">
        <v>22</v>
      </c>
      <c r="E101" s="390" t="s">
        <v>841</v>
      </c>
      <c r="F101" s="390" t="s">
        <v>20</v>
      </c>
      <c r="G101" s="390" t="s">
        <v>21</v>
      </c>
      <c r="H101" s="393" t="s">
        <v>31</v>
      </c>
      <c r="I101" s="393" t="s">
        <v>272</v>
      </c>
      <c r="J101" s="393" t="s">
        <v>32</v>
      </c>
      <c r="K101" s="394" t="s">
        <v>33</v>
      </c>
    </row>
    <row r="102" spans="3:11" ht="15.5">
      <c r="C102" s="387" t="s">
        <v>1526</v>
      </c>
      <c r="D102" s="389" t="s">
        <v>22</v>
      </c>
      <c r="E102" s="390" t="s">
        <v>841</v>
      </c>
      <c r="F102" s="390" t="s">
        <v>20</v>
      </c>
      <c r="G102" s="390" t="s">
        <v>21</v>
      </c>
      <c r="H102" s="393" t="s">
        <v>32</v>
      </c>
      <c r="I102" s="393" t="s">
        <v>23</v>
      </c>
      <c r="J102" s="393" t="s">
        <v>34</v>
      </c>
      <c r="K102" s="394" t="s">
        <v>33</v>
      </c>
    </row>
    <row r="103" spans="3:11" ht="15.5">
      <c r="C103" s="387" t="s">
        <v>1525</v>
      </c>
      <c r="D103" s="389" t="s">
        <v>22</v>
      </c>
      <c r="E103" s="390" t="s">
        <v>841</v>
      </c>
      <c r="F103" s="390" t="s">
        <v>20</v>
      </c>
      <c r="G103" s="390" t="s">
        <v>21</v>
      </c>
      <c r="H103" s="393" t="s">
        <v>31</v>
      </c>
      <c r="I103" s="393" t="s">
        <v>23</v>
      </c>
      <c r="J103" s="393" t="s">
        <v>34</v>
      </c>
      <c r="K103" s="394" t="s">
        <v>33</v>
      </c>
    </row>
    <row r="104" spans="3:11" ht="15.5">
      <c r="C104" s="387" t="s">
        <v>1524</v>
      </c>
      <c r="D104" s="389" t="s">
        <v>22</v>
      </c>
      <c r="E104" s="390" t="s">
        <v>32</v>
      </c>
      <c r="F104" s="390" t="s">
        <v>20</v>
      </c>
      <c r="G104" s="390" t="s">
        <v>21</v>
      </c>
      <c r="H104" s="393" t="s">
        <v>31</v>
      </c>
      <c r="I104" s="393" t="s">
        <v>23</v>
      </c>
      <c r="J104" s="393" t="s">
        <v>34</v>
      </c>
      <c r="K104" s="394" t="s">
        <v>33</v>
      </c>
    </row>
    <row r="105" spans="3:11" ht="15.5">
      <c r="C105" s="387" t="s">
        <v>1523</v>
      </c>
      <c r="D105" s="389" t="s">
        <v>22</v>
      </c>
      <c r="E105" s="390" t="s">
        <v>841</v>
      </c>
      <c r="F105" s="390" t="s">
        <v>20</v>
      </c>
      <c r="G105" s="390" t="s">
        <v>21</v>
      </c>
      <c r="H105" s="393" t="s">
        <v>31</v>
      </c>
      <c r="I105" s="393" t="s">
        <v>23</v>
      </c>
      <c r="J105" s="393" t="s">
        <v>34</v>
      </c>
      <c r="K105" s="394" t="s">
        <v>32</v>
      </c>
    </row>
    <row r="106" spans="3:11" ht="15.5">
      <c r="C106" s="387" t="s">
        <v>1522</v>
      </c>
      <c r="D106" s="389" t="s">
        <v>22</v>
      </c>
      <c r="E106" s="390" t="s">
        <v>841</v>
      </c>
      <c r="F106" s="390" t="s">
        <v>20</v>
      </c>
      <c r="G106" s="390" t="s">
        <v>21</v>
      </c>
      <c r="H106" s="393" t="s">
        <v>31</v>
      </c>
      <c r="I106" s="393" t="s">
        <v>23</v>
      </c>
      <c r="J106" s="393" t="s">
        <v>32</v>
      </c>
      <c r="K106" s="394" t="s">
        <v>33</v>
      </c>
    </row>
    <row r="107" spans="3:11" ht="15.5">
      <c r="C107" s="387" t="s">
        <v>1521</v>
      </c>
      <c r="D107" s="389" t="s">
        <v>22</v>
      </c>
      <c r="E107" s="390" t="s">
        <v>272</v>
      </c>
      <c r="F107" s="390" t="s">
        <v>20</v>
      </c>
      <c r="G107" s="390" t="s">
        <v>21</v>
      </c>
      <c r="H107" s="393" t="s">
        <v>841</v>
      </c>
      <c r="I107" s="393" t="s">
        <v>23</v>
      </c>
      <c r="J107" s="393" t="s">
        <v>34</v>
      </c>
      <c r="K107" s="394" t="s">
        <v>33</v>
      </c>
    </row>
    <row r="108" spans="3:11" ht="15.5">
      <c r="C108" s="387" t="s">
        <v>1520</v>
      </c>
      <c r="D108" s="389" t="s">
        <v>22</v>
      </c>
      <c r="E108" s="390" t="s">
        <v>272</v>
      </c>
      <c r="F108" s="390" t="s">
        <v>20</v>
      </c>
      <c r="G108" s="390" t="s">
        <v>21</v>
      </c>
      <c r="H108" s="393" t="s">
        <v>32</v>
      </c>
      <c r="I108" s="393" t="s">
        <v>23</v>
      </c>
      <c r="J108" s="393" t="s">
        <v>34</v>
      </c>
      <c r="K108" s="394" t="s">
        <v>33</v>
      </c>
    </row>
    <row r="109" spans="3:11" ht="15.5">
      <c r="C109" s="387" t="s">
        <v>1519</v>
      </c>
      <c r="D109" s="389" t="s">
        <v>22</v>
      </c>
      <c r="E109" s="390" t="s">
        <v>272</v>
      </c>
      <c r="F109" s="390" t="s">
        <v>20</v>
      </c>
      <c r="G109" s="390" t="s">
        <v>21</v>
      </c>
      <c r="H109" s="393" t="s">
        <v>841</v>
      </c>
      <c r="I109" s="393" t="s">
        <v>23</v>
      </c>
      <c r="J109" s="393" t="s">
        <v>34</v>
      </c>
      <c r="K109" s="394" t="s">
        <v>32</v>
      </c>
    </row>
    <row r="110" spans="3:11" ht="15.5">
      <c r="C110" s="387" t="s">
        <v>1518</v>
      </c>
      <c r="D110" s="389" t="s">
        <v>22</v>
      </c>
      <c r="E110" s="390" t="s">
        <v>272</v>
      </c>
      <c r="F110" s="390" t="s">
        <v>20</v>
      </c>
      <c r="G110" s="390" t="s">
        <v>21</v>
      </c>
      <c r="H110" s="393" t="s">
        <v>841</v>
      </c>
      <c r="I110" s="393" t="s">
        <v>23</v>
      </c>
      <c r="J110" s="393" t="s">
        <v>32</v>
      </c>
      <c r="K110" s="394" t="s">
        <v>33</v>
      </c>
    </row>
    <row r="111" spans="3:11" ht="15.5">
      <c r="C111" s="387" t="s">
        <v>1517</v>
      </c>
      <c r="D111" s="389" t="s">
        <v>22</v>
      </c>
      <c r="E111" s="390" t="s">
        <v>272</v>
      </c>
      <c r="F111" s="390" t="s">
        <v>20</v>
      </c>
      <c r="G111" s="390" t="s">
        <v>21</v>
      </c>
      <c r="H111" s="393" t="s">
        <v>31</v>
      </c>
      <c r="I111" s="393" t="s">
        <v>23</v>
      </c>
      <c r="J111" s="393" t="s">
        <v>34</v>
      </c>
      <c r="K111" s="394" t="s">
        <v>33</v>
      </c>
    </row>
    <row r="112" spans="3:11" ht="15.5">
      <c r="C112" s="387" t="s">
        <v>1516</v>
      </c>
      <c r="D112" s="389" t="s">
        <v>31</v>
      </c>
      <c r="E112" s="390" t="s">
        <v>272</v>
      </c>
      <c r="F112" s="390" t="s">
        <v>20</v>
      </c>
      <c r="G112" s="390" t="s">
        <v>21</v>
      </c>
      <c r="H112" s="393" t="s">
        <v>841</v>
      </c>
      <c r="I112" s="393" t="s">
        <v>23</v>
      </c>
      <c r="J112" s="393" t="s">
        <v>34</v>
      </c>
      <c r="K112" s="394" t="s">
        <v>22</v>
      </c>
    </row>
    <row r="113" spans="3:11" ht="15.5">
      <c r="C113" s="387" t="s">
        <v>1515</v>
      </c>
      <c r="D113" s="389" t="s">
        <v>31</v>
      </c>
      <c r="E113" s="390" t="s">
        <v>272</v>
      </c>
      <c r="F113" s="390" t="s">
        <v>20</v>
      </c>
      <c r="G113" s="390" t="s">
        <v>21</v>
      </c>
      <c r="H113" s="393" t="s">
        <v>841</v>
      </c>
      <c r="I113" s="393" t="s">
        <v>23</v>
      </c>
      <c r="J113" s="393" t="s">
        <v>22</v>
      </c>
      <c r="K113" s="394" t="s">
        <v>33</v>
      </c>
    </row>
    <row r="114" spans="3:11" ht="15.5">
      <c r="C114" s="387" t="s">
        <v>1514</v>
      </c>
      <c r="D114" s="389" t="s">
        <v>22</v>
      </c>
      <c r="E114" s="390" t="s">
        <v>272</v>
      </c>
      <c r="F114" s="390" t="s">
        <v>20</v>
      </c>
      <c r="G114" s="390" t="s">
        <v>21</v>
      </c>
      <c r="H114" s="393" t="s">
        <v>31</v>
      </c>
      <c r="I114" s="393" t="s">
        <v>23</v>
      </c>
      <c r="J114" s="393" t="s">
        <v>34</v>
      </c>
      <c r="K114" s="394" t="s">
        <v>32</v>
      </c>
    </row>
    <row r="115" spans="3:11" ht="15.5">
      <c r="C115" s="387" t="s">
        <v>1513</v>
      </c>
      <c r="D115" s="389" t="s">
        <v>22</v>
      </c>
      <c r="E115" s="390" t="s">
        <v>272</v>
      </c>
      <c r="F115" s="390" t="s">
        <v>20</v>
      </c>
      <c r="G115" s="390" t="s">
        <v>21</v>
      </c>
      <c r="H115" s="393" t="s">
        <v>31</v>
      </c>
      <c r="I115" s="393" t="s">
        <v>23</v>
      </c>
      <c r="J115" s="393" t="s">
        <v>32</v>
      </c>
      <c r="K115" s="394" t="s">
        <v>33</v>
      </c>
    </row>
    <row r="116" spans="3:11" ht="15.5">
      <c r="C116" s="387" t="s">
        <v>1512</v>
      </c>
      <c r="D116" s="389" t="s">
        <v>31</v>
      </c>
      <c r="E116" s="390" t="s">
        <v>272</v>
      </c>
      <c r="F116" s="390" t="s">
        <v>20</v>
      </c>
      <c r="G116" s="390" t="s">
        <v>21</v>
      </c>
      <c r="H116" s="393" t="s">
        <v>841</v>
      </c>
      <c r="I116" s="393" t="s">
        <v>23</v>
      </c>
      <c r="J116" s="393" t="s">
        <v>22</v>
      </c>
      <c r="K116" s="394" t="s">
        <v>32</v>
      </c>
    </row>
    <row r="117" spans="3:11" ht="15.5">
      <c r="C117" s="387" t="s">
        <v>1511</v>
      </c>
      <c r="D117" s="389" t="s">
        <v>31</v>
      </c>
      <c r="E117" s="390" t="s">
        <v>841</v>
      </c>
      <c r="F117" s="390" t="s">
        <v>20</v>
      </c>
      <c r="G117" s="390" t="s">
        <v>21</v>
      </c>
      <c r="H117" s="393" t="s">
        <v>32</v>
      </c>
      <c r="I117" s="393" t="s">
        <v>25</v>
      </c>
      <c r="J117" s="393" t="s">
        <v>34</v>
      </c>
      <c r="K117" s="394" t="s">
        <v>33</v>
      </c>
    </row>
    <row r="118" spans="3:11" ht="15.5">
      <c r="C118" s="387" t="s">
        <v>1510</v>
      </c>
      <c r="D118" s="389" t="s">
        <v>32</v>
      </c>
      <c r="E118" s="390" t="s">
        <v>272</v>
      </c>
      <c r="F118" s="390" t="s">
        <v>20</v>
      </c>
      <c r="G118" s="390" t="s">
        <v>21</v>
      </c>
      <c r="H118" s="393" t="s">
        <v>841</v>
      </c>
      <c r="I118" s="393" t="s">
        <v>25</v>
      </c>
      <c r="J118" s="393" t="s">
        <v>34</v>
      </c>
      <c r="K118" s="394" t="s">
        <v>33</v>
      </c>
    </row>
    <row r="119" spans="3:11" ht="15.5">
      <c r="C119" s="387" t="s">
        <v>1509</v>
      </c>
      <c r="D119" s="389" t="s">
        <v>31</v>
      </c>
      <c r="E119" s="390" t="s">
        <v>272</v>
      </c>
      <c r="F119" s="390" t="s">
        <v>20</v>
      </c>
      <c r="G119" s="390" t="s">
        <v>21</v>
      </c>
      <c r="H119" s="393" t="s">
        <v>841</v>
      </c>
      <c r="I119" s="393" t="s">
        <v>25</v>
      </c>
      <c r="J119" s="393" t="s">
        <v>34</v>
      </c>
      <c r="K119" s="394" t="s">
        <v>33</v>
      </c>
    </row>
    <row r="120" spans="3:11" ht="15.5">
      <c r="C120" s="387" t="s">
        <v>1508</v>
      </c>
      <c r="D120" s="389" t="s">
        <v>31</v>
      </c>
      <c r="E120" s="390" t="s">
        <v>272</v>
      </c>
      <c r="F120" s="390" t="s">
        <v>20</v>
      </c>
      <c r="G120" s="390" t="s">
        <v>21</v>
      </c>
      <c r="H120" s="393" t="s">
        <v>32</v>
      </c>
      <c r="I120" s="393" t="s">
        <v>25</v>
      </c>
      <c r="J120" s="393" t="s">
        <v>34</v>
      </c>
      <c r="K120" s="394" t="s">
        <v>33</v>
      </c>
    </row>
    <row r="121" spans="3:11" ht="15.5">
      <c r="C121" s="387" t="s">
        <v>1507</v>
      </c>
      <c r="D121" s="389" t="s">
        <v>31</v>
      </c>
      <c r="E121" s="390" t="s">
        <v>272</v>
      </c>
      <c r="F121" s="390" t="s">
        <v>20</v>
      </c>
      <c r="G121" s="390" t="s">
        <v>21</v>
      </c>
      <c r="H121" s="393" t="s">
        <v>841</v>
      </c>
      <c r="I121" s="393" t="s">
        <v>25</v>
      </c>
      <c r="J121" s="393" t="s">
        <v>34</v>
      </c>
      <c r="K121" s="394" t="s">
        <v>32</v>
      </c>
    </row>
    <row r="122" spans="3:11" ht="15.5">
      <c r="C122" s="387" t="s">
        <v>1506</v>
      </c>
      <c r="D122" s="389" t="s">
        <v>31</v>
      </c>
      <c r="E122" s="390" t="s">
        <v>272</v>
      </c>
      <c r="F122" s="390" t="s">
        <v>20</v>
      </c>
      <c r="G122" s="390" t="s">
        <v>21</v>
      </c>
      <c r="H122" s="393" t="s">
        <v>841</v>
      </c>
      <c r="I122" s="393" t="s">
        <v>25</v>
      </c>
      <c r="J122" s="393" t="s">
        <v>32</v>
      </c>
      <c r="K122" s="394" t="s">
        <v>33</v>
      </c>
    </row>
    <row r="123" spans="3:11" ht="15.5">
      <c r="C123" s="387" t="s">
        <v>1505</v>
      </c>
      <c r="D123" s="389" t="s">
        <v>21</v>
      </c>
      <c r="E123" s="390" t="s">
        <v>841</v>
      </c>
      <c r="F123" s="390" t="s">
        <v>20</v>
      </c>
      <c r="G123" s="390" t="s">
        <v>25</v>
      </c>
      <c r="H123" s="393" t="s">
        <v>32</v>
      </c>
      <c r="I123" s="393" t="s">
        <v>23</v>
      </c>
      <c r="J123" s="393" t="s">
        <v>34</v>
      </c>
      <c r="K123" s="394" t="s">
        <v>33</v>
      </c>
    </row>
    <row r="124" spans="3:11" ht="15.5">
      <c r="C124" s="387" t="s">
        <v>1504</v>
      </c>
      <c r="D124" s="389" t="s">
        <v>21</v>
      </c>
      <c r="E124" s="390" t="s">
        <v>841</v>
      </c>
      <c r="F124" s="390" t="s">
        <v>20</v>
      </c>
      <c r="G124" s="390" t="s">
        <v>25</v>
      </c>
      <c r="H124" s="393" t="s">
        <v>31</v>
      </c>
      <c r="I124" s="393" t="s">
        <v>23</v>
      </c>
      <c r="J124" s="393" t="s">
        <v>34</v>
      </c>
      <c r="K124" s="394" t="s">
        <v>33</v>
      </c>
    </row>
    <row r="125" spans="3:11" ht="15.5">
      <c r="C125" s="387" t="s">
        <v>1503</v>
      </c>
      <c r="D125" s="389" t="s">
        <v>21</v>
      </c>
      <c r="E125" s="390" t="s">
        <v>32</v>
      </c>
      <c r="F125" s="390" t="s">
        <v>20</v>
      </c>
      <c r="G125" s="390" t="s">
        <v>25</v>
      </c>
      <c r="H125" s="393" t="s">
        <v>31</v>
      </c>
      <c r="I125" s="393" t="s">
        <v>23</v>
      </c>
      <c r="J125" s="393" t="s">
        <v>34</v>
      </c>
      <c r="K125" s="394" t="s">
        <v>33</v>
      </c>
    </row>
    <row r="126" spans="3:11" ht="15.5">
      <c r="C126" s="387" t="s">
        <v>1502</v>
      </c>
      <c r="D126" s="389" t="s">
        <v>21</v>
      </c>
      <c r="E126" s="390" t="s">
        <v>841</v>
      </c>
      <c r="F126" s="390" t="s">
        <v>20</v>
      </c>
      <c r="G126" s="390" t="s">
        <v>25</v>
      </c>
      <c r="H126" s="393" t="s">
        <v>31</v>
      </c>
      <c r="I126" s="393" t="s">
        <v>23</v>
      </c>
      <c r="J126" s="393" t="s">
        <v>34</v>
      </c>
      <c r="K126" s="394" t="s">
        <v>32</v>
      </c>
    </row>
    <row r="127" spans="3:11" ht="15.5">
      <c r="C127" s="387" t="s">
        <v>1501</v>
      </c>
      <c r="D127" s="389" t="s">
        <v>21</v>
      </c>
      <c r="E127" s="390" t="s">
        <v>841</v>
      </c>
      <c r="F127" s="390" t="s">
        <v>20</v>
      </c>
      <c r="G127" s="390" t="s">
        <v>25</v>
      </c>
      <c r="H127" s="393" t="s">
        <v>31</v>
      </c>
      <c r="I127" s="393" t="s">
        <v>23</v>
      </c>
      <c r="J127" s="393" t="s">
        <v>32</v>
      </c>
      <c r="K127" s="394" t="s">
        <v>33</v>
      </c>
    </row>
    <row r="128" spans="3:11" ht="15.5">
      <c r="C128" s="387" t="s">
        <v>1500</v>
      </c>
      <c r="D128" s="389" t="s">
        <v>21</v>
      </c>
      <c r="E128" s="390" t="s">
        <v>272</v>
      </c>
      <c r="F128" s="390" t="s">
        <v>20</v>
      </c>
      <c r="G128" s="390" t="s">
        <v>25</v>
      </c>
      <c r="H128" s="393" t="s">
        <v>841</v>
      </c>
      <c r="I128" s="393" t="s">
        <v>23</v>
      </c>
      <c r="J128" s="393" t="s">
        <v>34</v>
      </c>
      <c r="K128" s="394" t="s">
        <v>33</v>
      </c>
    </row>
    <row r="129" spans="3:11" ht="15.5">
      <c r="C129" s="387" t="s">
        <v>1499</v>
      </c>
      <c r="D129" s="389" t="s">
        <v>21</v>
      </c>
      <c r="E129" s="390" t="s">
        <v>272</v>
      </c>
      <c r="F129" s="390" t="s">
        <v>20</v>
      </c>
      <c r="G129" s="390" t="s">
        <v>25</v>
      </c>
      <c r="H129" s="393" t="s">
        <v>32</v>
      </c>
      <c r="I129" s="393" t="s">
        <v>23</v>
      </c>
      <c r="J129" s="393" t="s">
        <v>34</v>
      </c>
      <c r="K129" s="394" t="s">
        <v>33</v>
      </c>
    </row>
    <row r="130" spans="3:11" ht="15.5">
      <c r="C130" s="387" t="s">
        <v>1498</v>
      </c>
      <c r="D130" s="389" t="s">
        <v>21</v>
      </c>
      <c r="E130" s="390" t="s">
        <v>272</v>
      </c>
      <c r="F130" s="390" t="s">
        <v>20</v>
      </c>
      <c r="G130" s="390" t="s">
        <v>25</v>
      </c>
      <c r="H130" s="393" t="s">
        <v>841</v>
      </c>
      <c r="I130" s="393" t="s">
        <v>23</v>
      </c>
      <c r="J130" s="393" t="s">
        <v>34</v>
      </c>
      <c r="K130" s="394" t="s">
        <v>32</v>
      </c>
    </row>
    <row r="131" spans="3:11" ht="15.5">
      <c r="C131" s="387" t="s">
        <v>1497</v>
      </c>
      <c r="D131" s="389" t="s">
        <v>21</v>
      </c>
      <c r="E131" s="390" t="s">
        <v>272</v>
      </c>
      <c r="F131" s="390" t="s">
        <v>20</v>
      </c>
      <c r="G131" s="390" t="s">
        <v>25</v>
      </c>
      <c r="H131" s="393" t="s">
        <v>841</v>
      </c>
      <c r="I131" s="393" t="s">
        <v>23</v>
      </c>
      <c r="J131" s="393" t="s">
        <v>32</v>
      </c>
      <c r="K131" s="394" t="s">
        <v>33</v>
      </c>
    </row>
    <row r="132" spans="3:11" ht="15.5">
      <c r="C132" s="387" t="s">
        <v>1496</v>
      </c>
      <c r="D132" s="389" t="s">
        <v>21</v>
      </c>
      <c r="E132" s="390" t="s">
        <v>272</v>
      </c>
      <c r="F132" s="390" t="s">
        <v>20</v>
      </c>
      <c r="G132" s="390" t="s">
        <v>25</v>
      </c>
      <c r="H132" s="393" t="s">
        <v>31</v>
      </c>
      <c r="I132" s="393" t="s">
        <v>23</v>
      </c>
      <c r="J132" s="393" t="s">
        <v>34</v>
      </c>
      <c r="K132" s="394" t="s">
        <v>33</v>
      </c>
    </row>
    <row r="133" spans="3:11" ht="15.5">
      <c r="C133" s="387" t="s">
        <v>1495</v>
      </c>
      <c r="D133" s="389" t="s">
        <v>21</v>
      </c>
      <c r="E133" s="390" t="s">
        <v>272</v>
      </c>
      <c r="F133" s="390" t="s">
        <v>20</v>
      </c>
      <c r="G133" s="390" t="s">
        <v>25</v>
      </c>
      <c r="H133" s="393" t="s">
        <v>31</v>
      </c>
      <c r="I133" s="393" t="s">
        <v>23</v>
      </c>
      <c r="J133" s="393" t="s">
        <v>34</v>
      </c>
      <c r="K133" s="394" t="s">
        <v>841</v>
      </c>
    </row>
    <row r="134" spans="3:11" ht="15.5">
      <c r="C134" s="387" t="s">
        <v>1494</v>
      </c>
      <c r="D134" s="389" t="s">
        <v>31</v>
      </c>
      <c r="E134" s="390" t="s">
        <v>272</v>
      </c>
      <c r="F134" s="390" t="s">
        <v>20</v>
      </c>
      <c r="G134" s="390" t="s">
        <v>21</v>
      </c>
      <c r="H134" s="393" t="s">
        <v>841</v>
      </c>
      <c r="I134" s="393" t="s">
        <v>23</v>
      </c>
      <c r="J134" s="393" t="s">
        <v>25</v>
      </c>
      <c r="K134" s="394" t="s">
        <v>33</v>
      </c>
    </row>
    <row r="135" spans="3:11" ht="15.5">
      <c r="C135" s="387" t="s">
        <v>1493</v>
      </c>
      <c r="D135" s="389" t="s">
        <v>21</v>
      </c>
      <c r="E135" s="390" t="s">
        <v>272</v>
      </c>
      <c r="F135" s="390" t="s">
        <v>20</v>
      </c>
      <c r="G135" s="390" t="s">
        <v>25</v>
      </c>
      <c r="H135" s="393" t="s">
        <v>31</v>
      </c>
      <c r="I135" s="393" t="s">
        <v>23</v>
      </c>
      <c r="J135" s="393" t="s">
        <v>34</v>
      </c>
      <c r="K135" s="394" t="s">
        <v>32</v>
      </c>
    </row>
    <row r="136" spans="3:11" ht="15.5">
      <c r="C136" s="387" t="s">
        <v>1492</v>
      </c>
      <c r="D136" s="389" t="s">
        <v>21</v>
      </c>
      <c r="E136" s="390" t="s">
        <v>272</v>
      </c>
      <c r="F136" s="390" t="s">
        <v>20</v>
      </c>
      <c r="G136" s="390" t="s">
        <v>25</v>
      </c>
      <c r="H136" s="393" t="s">
        <v>31</v>
      </c>
      <c r="I136" s="393" t="s">
        <v>23</v>
      </c>
      <c r="J136" s="393" t="s">
        <v>32</v>
      </c>
      <c r="K136" s="394" t="s">
        <v>33</v>
      </c>
    </row>
    <row r="137" spans="3:11" ht="15.5">
      <c r="C137" s="387" t="s">
        <v>1491</v>
      </c>
      <c r="D137" s="389" t="s">
        <v>31</v>
      </c>
      <c r="E137" s="390" t="s">
        <v>272</v>
      </c>
      <c r="F137" s="390" t="s">
        <v>20</v>
      </c>
      <c r="G137" s="390" t="s">
        <v>21</v>
      </c>
      <c r="H137" s="393" t="s">
        <v>841</v>
      </c>
      <c r="I137" s="393" t="s">
        <v>23</v>
      </c>
      <c r="J137" s="393" t="s">
        <v>25</v>
      </c>
      <c r="K137" s="394" t="s">
        <v>32</v>
      </c>
    </row>
    <row r="138" spans="3:11" ht="15.5">
      <c r="C138" s="387" t="s">
        <v>1490</v>
      </c>
      <c r="D138" s="389" t="s">
        <v>22</v>
      </c>
      <c r="E138" s="390" t="s">
        <v>841</v>
      </c>
      <c r="F138" s="390" t="s">
        <v>20</v>
      </c>
      <c r="G138" s="390" t="s">
        <v>21</v>
      </c>
      <c r="H138" s="393" t="s">
        <v>32</v>
      </c>
      <c r="I138" s="393" t="s">
        <v>25</v>
      </c>
      <c r="J138" s="393" t="s">
        <v>34</v>
      </c>
      <c r="K138" s="394" t="s">
        <v>33</v>
      </c>
    </row>
    <row r="139" spans="3:11" ht="15.5">
      <c r="C139" s="387" t="s">
        <v>1489</v>
      </c>
      <c r="D139" s="389" t="s">
        <v>22</v>
      </c>
      <c r="E139" s="390" t="s">
        <v>841</v>
      </c>
      <c r="F139" s="390" t="s">
        <v>20</v>
      </c>
      <c r="G139" s="390" t="s">
        <v>21</v>
      </c>
      <c r="H139" s="393" t="s">
        <v>31</v>
      </c>
      <c r="I139" s="393" t="s">
        <v>25</v>
      </c>
      <c r="J139" s="393" t="s">
        <v>34</v>
      </c>
      <c r="K139" s="394" t="s">
        <v>33</v>
      </c>
    </row>
    <row r="140" spans="3:11" ht="15.5">
      <c r="C140" s="387" t="s">
        <v>1488</v>
      </c>
      <c r="D140" s="389" t="s">
        <v>22</v>
      </c>
      <c r="E140" s="390" t="s">
        <v>32</v>
      </c>
      <c r="F140" s="390" t="s">
        <v>20</v>
      </c>
      <c r="G140" s="390" t="s">
        <v>21</v>
      </c>
      <c r="H140" s="393" t="s">
        <v>31</v>
      </c>
      <c r="I140" s="393" t="s">
        <v>25</v>
      </c>
      <c r="J140" s="393" t="s">
        <v>34</v>
      </c>
      <c r="K140" s="394" t="s">
        <v>33</v>
      </c>
    </row>
    <row r="141" spans="3:11" ht="15.5">
      <c r="C141" s="387" t="s">
        <v>1487</v>
      </c>
      <c r="D141" s="389" t="s">
        <v>22</v>
      </c>
      <c r="E141" s="390" t="s">
        <v>841</v>
      </c>
      <c r="F141" s="390" t="s">
        <v>20</v>
      </c>
      <c r="G141" s="390" t="s">
        <v>21</v>
      </c>
      <c r="H141" s="393" t="s">
        <v>31</v>
      </c>
      <c r="I141" s="393" t="s">
        <v>25</v>
      </c>
      <c r="J141" s="393" t="s">
        <v>34</v>
      </c>
      <c r="K141" s="394" t="s">
        <v>32</v>
      </c>
    </row>
    <row r="142" spans="3:11" ht="15.5">
      <c r="C142" s="387" t="s">
        <v>1486</v>
      </c>
      <c r="D142" s="389" t="s">
        <v>22</v>
      </c>
      <c r="E142" s="390" t="s">
        <v>841</v>
      </c>
      <c r="F142" s="390" t="s">
        <v>20</v>
      </c>
      <c r="G142" s="390" t="s">
        <v>21</v>
      </c>
      <c r="H142" s="393" t="s">
        <v>31</v>
      </c>
      <c r="I142" s="393" t="s">
        <v>25</v>
      </c>
      <c r="J142" s="393" t="s">
        <v>32</v>
      </c>
      <c r="K142" s="394" t="s">
        <v>33</v>
      </c>
    </row>
    <row r="143" spans="3:11" ht="15.5">
      <c r="C143" s="387" t="s">
        <v>1485</v>
      </c>
      <c r="D143" s="389" t="s">
        <v>22</v>
      </c>
      <c r="E143" s="390" t="s">
        <v>272</v>
      </c>
      <c r="F143" s="390" t="s">
        <v>20</v>
      </c>
      <c r="G143" s="390" t="s">
        <v>21</v>
      </c>
      <c r="H143" s="393" t="s">
        <v>841</v>
      </c>
      <c r="I143" s="393" t="s">
        <v>25</v>
      </c>
      <c r="J143" s="393" t="s">
        <v>34</v>
      </c>
      <c r="K143" s="394" t="s">
        <v>33</v>
      </c>
    </row>
    <row r="144" spans="3:11" ht="15.5">
      <c r="C144" s="387" t="s">
        <v>1484</v>
      </c>
      <c r="D144" s="389" t="s">
        <v>22</v>
      </c>
      <c r="E144" s="390" t="s">
        <v>272</v>
      </c>
      <c r="F144" s="390" t="s">
        <v>20</v>
      </c>
      <c r="G144" s="390" t="s">
        <v>21</v>
      </c>
      <c r="H144" s="393" t="s">
        <v>32</v>
      </c>
      <c r="I144" s="393" t="s">
        <v>25</v>
      </c>
      <c r="J144" s="393" t="s">
        <v>34</v>
      </c>
      <c r="K144" s="394" t="s">
        <v>33</v>
      </c>
    </row>
    <row r="145" spans="3:11" ht="15.5">
      <c r="C145" s="387" t="s">
        <v>1483</v>
      </c>
      <c r="D145" s="389" t="s">
        <v>22</v>
      </c>
      <c r="E145" s="390" t="s">
        <v>272</v>
      </c>
      <c r="F145" s="390" t="s">
        <v>20</v>
      </c>
      <c r="G145" s="390" t="s">
        <v>21</v>
      </c>
      <c r="H145" s="393" t="s">
        <v>841</v>
      </c>
      <c r="I145" s="393" t="s">
        <v>25</v>
      </c>
      <c r="J145" s="393" t="s">
        <v>34</v>
      </c>
      <c r="K145" s="394" t="s">
        <v>32</v>
      </c>
    </row>
    <row r="146" spans="3:11" ht="15.5">
      <c r="C146" s="387" t="s">
        <v>1482</v>
      </c>
      <c r="D146" s="389" t="s">
        <v>22</v>
      </c>
      <c r="E146" s="390" t="s">
        <v>272</v>
      </c>
      <c r="F146" s="390" t="s">
        <v>20</v>
      </c>
      <c r="G146" s="390" t="s">
        <v>21</v>
      </c>
      <c r="H146" s="393" t="s">
        <v>841</v>
      </c>
      <c r="I146" s="393" t="s">
        <v>25</v>
      </c>
      <c r="J146" s="393" t="s">
        <v>32</v>
      </c>
      <c r="K146" s="394" t="s">
        <v>33</v>
      </c>
    </row>
    <row r="147" spans="3:11" ht="15.5">
      <c r="C147" s="387" t="s">
        <v>1481</v>
      </c>
      <c r="D147" s="389" t="s">
        <v>22</v>
      </c>
      <c r="E147" s="390" t="s">
        <v>272</v>
      </c>
      <c r="F147" s="390" t="s">
        <v>20</v>
      </c>
      <c r="G147" s="390" t="s">
        <v>21</v>
      </c>
      <c r="H147" s="393" t="s">
        <v>31</v>
      </c>
      <c r="I147" s="393" t="s">
        <v>25</v>
      </c>
      <c r="J147" s="393" t="s">
        <v>34</v>
      </c>
      <c r="K147" s="394" t="s">
        <v>33</v>
      </c>
    </row>
    <row r="148" spans="3:11" ht="15.5">
      <c r="C148" s="387" t="s">
        <v>1480</v>
      </c>
      <c r="D148" s="389" t="s">
        <v>31</v>
      </c>
      <c r="E148" s="390" t="s">
        <v>272</v>
      </c>
      <c r="F148" s="390" t="s">
        <v>20</v>
      </c>
      <c r="G148" s="390" t="s">
        <v>21</v>
      </c>
      <c r="H148" s="393" t="s">
        <v>841</v>
      </c>
      <c r="I148" s="393" t="s">
        <v>25</v>
      </c>
      <c r="J148" s="393" t="s">
        <v>34</v>
      </c>
      <c r="K148" s="394" t="s">
        <v>22</v>
      </c>
    </row>
    <row r="149" spans="3:11" ht="15.5">
      <c r="C149" s="387" t="s">
        <v>1479</v>
      </c>
      <c r="D149" s="389" t="s">
        <v>31</v>
      </c>
      <c r="E149" s="390" t="s">
        <v>272</v>
      </c>
      <c r="F149" s="390" t="s">
        <v>20</v>
      </c>
      <c r="G149" s="390" t="s">
        <v>21</v>
      </c>
      <c r="H149" s="393" t="s">
        <v>841</v>
      </c>
      <c r="I149" s="393" t="s">
        <v>25</v>
      </c>
      <c r="J149" s="393" t="s">
        <v>22</v>
      </c>
      <c r="K149" s="394" t="s">
        <v>33</v>
      </c>
    </row>
    <row r="150" spans="3:11" ht="15.5">
      <c r="C150" s="387" t="s">
        <v>1478</v>
      </c>
      <c r="D150" s="389" t="s">
        <v>22</v>
      </c>
      <c r="E150" s="390" t="s">
        <v>272</v>
      </c>
      <c r="F150" s="390" t="s">
        <v>20</v>
      </c>
      <c r="G150" s="390" t="s">
        <v>21</v>
      </c>
      <c r="H150" s="393" t="s">
        <v>31</v>
      </c>
      <c r="I150" s="393" t="s">
        <v>25</v>
      </c>
      <c r="J150" s="393" t="s">
        <v>34</v>
      </c>
      <c r="K150" s="394" t="s">
        <v>32</v>
      </c>
    </row>
    <row r="151" spans="3:11" ht="15.5">
      <c r="C151" s="387" t="s">
        <v>1477</v>
      </c>
      <c r="D151" s="389" t="s">
        <v>22</v>
      </c>
      <c r="E151" s="390" t="s">
        <v>272</v>
      </c>
      <c r="F151" s="390" t="s">
        <v>20</v>
      </c>
      <c r="G151" s="390" t="s">
        <v>21</v>
      </c>
      <c r="H151" s="393" t="s">
        <v>31</v>
      </c>
      <c r="I151" s="393" t="s">
        <v>25</v>
      </c>
      <c r="J151" s="393" t="s">
        <v>32</v>
      </c>
      <c r="K151" s="394" t="s">
        <v>33</v>
      </c>
    </row>
    <row r="152" spans="3:11" ht="15.5">
      <c r="C152" s="387" t="s">
        <v>1476</v>
      </c>
      <c r="D152" s="389" t="s">
        <v>31</v>
      </c>
      <c r="E152" s="390" t="s">
        <v>272</v>
      </c>
      <c r="F152" s="390" t="s">
        <v>20</v>
      </c>
      <c r="G152" s="390" t="s">
        <v>21</v>
      </c>
      <c r="H152" s="393" t="s">
        <v>841</v>
      </c>
      <c r="I152" s="393" t="s">
        <v>25</v>
      </c>
      <c r="J152" s="393" t="s">
        <v>22</v>
      </c>
      <c r="K152" s="394" t="s">
        <v>32</v>
      </c>
    </row>
    <row r="153" spans="3:11" ht="15.5">
      <c r="C153" s="387" t="s">
        <v>1475</v>
      </c>
      <c r="D153" s="389" t="s">
        <v>21</v>
      </c>
      <c r="E153" s="390" t="s">
        <v>841</v>
      </c>
      <c r="F153" s="390" t="s">
        <v>20</v>
      </c>
      <c r="G153" s="390" t="s">
        <v>25</v>
      </c>
      <c r="H153" s="393" t="s">
        <v>22</v>
      </c>
      <c r="I153" s="393" t="s">
        <v>23</v>
      </c>
      <c r="J153" s="393" t="s">
        <v>34</v>
      </c>
      <c r="K153" s="394" t="s">
        <v>33</v>
      </c>
    </row>
    <row r="154" spans="3:11" ht="15.5">
      <c r="C154" s="387" t="s">
        <v>1474</v>
      </c>
      <c r="D154" s="389" t="s">
        <v>21</v>
      </c>
      <c r="E154" s="390" t="s">
        <v>22</v>
      </c>
      <c r="F154" s="390" t="s">
        <v>20</v>
      </c>
      <c r="G154" s="390" t="s">
        <v>25</v>
      </c>
      <c r="H154" s="393" t="s">
        <v>32</v>
      </c>
      <c r="I154" s="393" t="s">
        <v>23</v>
      </c>
      <c r="J154" s="393" t="s">
        <v>34</v>
      </c>
      <c r="K154" s="394" t="s">
        <v>33</v>
      </c>
    </row>
    <row r="155" spans="3:11" ht="15.5">
      <c r="C155" s="387" t="s">
        <v>1473</v>
      </c>
      <c r="D155" s="389" t="s">
        <v>21</v>
      </c>
      <c r="E155" s="390" t="s">
        <v>841</v>
      </c>
      <c r="F155" s="390" t="s">
        <v>20</v>
      </c>
      <c r="G155" s="390" t="s">
        <v>25</v>
      </c>
      <c r="H155" s="393" t="s">
        <v>22</v>
      </c>
      <c r="I155" s="393" t="s">
        <v>23</v>
      </c>
      <c r="J155" s="393" t="s">
        <v>34</v>
      </c>
      <c r="K155" s="394" t="s">
        <v>32</v>
      </c>
    </row>
    <row r="156" spans="3:11" ht="15.5">
      <c r="C156" s="387" t="s">
        <v>1472</v>
      </c>
      <c r="D156" s="389" t="s">
        <v>21</v>
      </c>
      <c r="E156" s="390" t="s">
        <v>841</v>
      </c>
      <c r="F156" s="390" t="s">
        <v>20</v>
      </c>
      <c r="G156" s="390" t="s">
        <v>25</v>
      </c>
      <c r="H156" s="393" t="s">
        <v>22</v>
      </c>
      <c r="I156" s="393" t="s">
        <v>23</v>
      </c>
      <c r="J156" s="393" t="s">
        <v>32</v>
      </c>
      <c r="K156" s="394" t="s">
        <v>33</v>
      </c>
    </row>
    <row r="157" spans="3:11" ht="15.5">
      <c r="C157" s="387" t="s">
        <v>1471</v>
      </c>
      <c r="D157" s="389" t="s">
        <v>21</v>
      </c>
      <c r="E157" s="390" t="s">
        <v>22</v>
      </c>
      <c r="F157" s="390" t="s">
        <v>20</v>
      </c>
      <c r="G157" s="390" t="s">
        <v>25</v>
      </c>
      <c r="H157" s="393" t="s">
        <v>31</v>
      </c>
      <c r="I157" s="393" t="s">
        <v>23</v>
      </c>
      <c r="J157" s="393" t="s">
        <v>34</v>
      </c>
      <c r="K157" s="394" t="s">
        <v>33</v>
      </c>
    </row>
    <row r="158" spans="3:11" ht="15.5">
      <c r="C158" s="387" t="s">
        <v>1470</v>
      </c>
      <c r="D158" s="389" t="s">
        <v>21</v>
      </c>
      <c r="E158" s="390" t="s">
        <v>841</v>
      </c>
      <c r="F158" s="390" t="s">
        <v>20</v>
      </c>
      <c r="G158" s="390" t="s">
        <v>25</v>
      </c>
      <c r="H158" s="393" t="s">
        <v>31</v>
      </c>
      <c r="I158" s="393" t="s">
        <v>23</v>
      </c>
      <c r="J158" s="393" t="s">
        <v>34</v>
      </c>
      <c r="K158" s="394" t="s">
        <v>22</v>
      </c>
    </row>
    <row r="159" spans="3:11" ht="15.5">
      <c r="C159" s="387" t="s">
        <v>1469</v>
      </c>
      <c r="D159" s="389" t="s">
        <v>21</v>
      </c>
      <c r="E159" s="390" t="s">
        <v>841</v>
      </c>
      <c r="F159" s="390" t="s">
        <v>20</v>
      </c>
      <c r="G159" s="390" t="s">
        <v>25</v>
      </c>
      <c r="H159" s="393" t="s">
        <v>31</v>
      </c>
      <c r="I159" s="393" t="s">
        <v>23</v>
      </c>
      <c r="J159" s="393" t="s">
        <v>22</v>
      </c>
      <c r="K159" s="394" t="s">
        <v>33</v>
      </c>
    </row>
    <row r="160" spans="3:11" ht="15.5">
      <c r="C160" s="387" t="s">
        <v>1468</v>
      </c>
      <c r="D160" s="389" t="s">
        <v>21</v>
      </c>
      <c r="E160" s="390" t="s">
        <v>22</v>
      </c>
      <c r="F160" s="390" t="s">
        <v>20</v>
      </c>
      <c r="G160" s="390" t="s">
        <v>25</v>
      </c>
      <c r="H160" s="393" t="s">
        <v>31</v>
      </c>
      <c r="I160" s="393" t="s">
        <v>23</v>
      </c>
      <c r="J160" s="393" t="s">
        <v>34</v>
      </c>
      <c r="K160" s="394" t="s">
        <v>32</v>
      </c>
    </row>
    <row r="161" spans="3:11" ht="15.5">
      <c r="C161" s="387" t="s">
        <v>1467</v>
      </c>
      <c r="D161" s="389" t="s">
        <v>21</v>
      </c>
      <c r="E161" s="390" t="s">
        <v>22</v>
      </c>
      <c r="F161" s="390" t="s">
        <v>20</v>
      </c>
      <c r="G161" s="390" t="s">
        <v>25</v>
      </c>
      <c r="H161" s="393" t="s">
        <v>31</v>
      </c>
      <c r="I161" s="393" t="s">
        <v>23</v>
      </c>
      <c r="J161" s="393" t="s">
        <v>32</v>
      </c>
      <c r="K161" s="394" t="s">
        <v>33</v>
      </c>
    </row>
    <row r="162" spans="3:11" ht="15.5">
      <c r="C162" s="387" t="s">
        <v>1466</v>
      </c>
      <c r="D162" s="389" t="s">
        <v>21</v>
      </c>
      <c r="E162" s="390" t="s">
        <v>841</v>
      </c>
      <c r="F162" s="390" t="s">
        <v>20</v>
      </c>
      <c r="G162" s="390" t="s">
        <v>25</v>
      </c>
      <c r="H162" s="393" t="s">
        <v>31</v>
      </c>
      <c r="I162" s="393" t="s">
        <v>23</v>
      </c>
      <c r="J162" s="393" t="s">
        <v>22</v>
      </c>
      <c r="K162" s="394" t="s">
        <v>32</v>
      </c>
    </row>
    <row r="163" spans="3:11" ht="15.5">
      <c r="C163" s="387" t="s">
        <v>1465</v>
      </c>
      <c r="D163" s="389" t="s">
        <v>21</v>
      </c>
      <c r="E163" s="390" t="s">
        <v>272</v>
      </c>
      <c r="F163" s="390" t="s">
        <v>20</v>
      </c>
      <c r="G163" s="390" t="s">
        <v>25</v>
      </c>
      <c r="H163" s="393" t="s">
        <v>22</v>
      </c>
      <c r="I163" s="393" t="s">
        <v>23</v>
      </c>
      <c r="J163" s="393" t="s">
        <v>34</v>
      </c>
      <c r="K163" s="394" t="s">
        <v>33</v>
      </c>
    </row>
    <row r="164" spans="3:11" ht="15.5">
      <c r="C164" s="387" t="s">
        <v>1464</v>
      </c>
      <c r="D164" s="389" t="s">
        <v>21</v>
      </c>
      <c r="E164" s="390" t="s">
        <v>272</v>
      </c>
      <c r="F164" s="390" t="s">
        <v>20</v>
      </c>
      <c r="G164" s="390" t="s">
        <v>25</v>
      </c>
      <c r="H164" s="393" t="s">
        <v>841</v>
      </c>
      <c r="I164" s="393" t="s">
        <v>23</v>
      </c>
      <c r="J164" s="393" t="s">
        <v>34</v>
      </c>
      <c r="K164" s="394" t="s">
        <v>22</v>
      </c>
    </row>
    <row r="165" spans="3:11" ht="15.5">
      <c r="C165" s="387" t="s">
        <v>1463</v>
      </c>
      <c r="D165" s="389" t="s">
        <v>21</v>
      </c>
      <c r="E165" s="390" t="s">
        <v>272</v>
      </c>
      <c r="F165" s="390" t="s">
        <v>20</v>
      </c>
      <c r="G165" s="390" t="s">
        <v>25</v>
      </c>
      <c r="H165" s="393" t="s">
        <v>841</v>
      </c>
      <c r="I165" s="393" t="s">
        <v>23</v>
      </c>
      <c r="J165" s="393" t="s">
        <v>22</v>
      </c>
      <c r="K165" s="394" t="s">
        <v>33</v>
      </c>
    </row>
    <row r="166" spans="3:11" ht="15.5">
      <c r="C166" s="387" t="s">
        <v>1462</v>
      </c>
      <c r="D166" s="389" t="s">
        <v>21</v>
      </c>
      <c r="E166" s="390" t="s">
        <v>272</v>
      </c>
      <c r="F166" s="390" t="s">
        <v>20</v>
      </c>
      <c r="G166" s="390" t="s">
        <v>25</v>
      </c>
      <c r="H166" s="393" t="s">
        <v>22</v>
      </c>
      <c r="I166" s="393" t="s">
        <v>23</v>
      </c>
      <c r="J166" s="393" t="s">
        <v>34</v>
      </c>
      <c r="K166" s="394" t="s">
        <v>32</v>
      </c>
    </row>
    <row r="167" spans="3:11" ht="15.5">
      <c r="C167" s="387" t="s">
        <v>1461</v>
      </c>
      <c r="D167" s="389" t="s">
        <v>21</v>
      </c>
      <c r="E167" s="390" t="s">
        <v>272</v>
      </c>
      <c r="F167" s="390" t="s">
        <v>20</v>
      </c>
      <c r="G167" s="390" t="s">
        <v>25</v>
      </c>
      <c r="H167" s="393" t="s">
        <v>22</v>
      </c>
      <c r="I167" s="393" t="s">
        <v>23</v>
      </c>
      <c r="J167" s="393" t="s">
        <v>32</v>
      </c>
      <c r="K167" s="394" t="s">
        <v>33</v>
      </c>
    </row>
    <row r="168" spans="3:11" ht="15.5">
      <c r="C168" s="387" t="s">
        <v>1460</v>
      </c>
      <c r="D168" s="389" t="s">
        <v>21</v>
      </c>
      <c r="E168" s="390" t="s">
        <v>272</v>
      </c>
      <c r="F168" s="390" t="s">
        <v>20</v>
      </c>
      <c r="G168" s="390" t="s">
        <v>25</v>
      </c>
      <c r="H168" s="393" t="s">
        <v>841</v>
      </c>
      <c r="I168" s="393" t="s">
        <v>23</v>
      </c>
      <c r="J168" s="393" t="s">
        <v>22</v>
      </c>
      <c r="K168" s="394" t="s">
        <v>32</v>
      </c>
    </row>
    <row r="169" spans="3:11" ht="15.5">
      <c r="C169" s="387" t="s">
        <v>1459</v>
      </c>
      <c r="D169" s="389" t="s">
        <v>21</v>
      </c>
      <c r="E169" s="390" t="s">
        <v>272</v>
      </c>
      <c r="F169" s="390" t="s">
        <v>20</v>
      </c>
      <c r="G169" s="390" t="s">
        <v>25</v>
      </c>
      <c r="H169" s="393" t="s">
        <v>31</v>
      </c>
      <c r="I169" s="393" t="s">
        <v>23</v>
      </c>
      <c r="J169" s="393" t="s">
        <v>34</v>
      </c>
      <c r="K169" s="394" t="s">
        <v>22</v>
      </c>
    </row>
    <row r="170" spans="3:11" ht="15.5">
      <c r="C170" s="387" t="s">
        <v>1458</v>
      </c>
      <c r="D170" s="389" t="s">
        <v>21</v>
      </c>
      <c r="E170" s="390" t="s">
        <v>272</v>
      </c>
      <c r="F170" s="390" t="s">
        <v>20</v>
      </c>
      <c r="G170" s="390" t="s">
        <v>25</v>
      </c>
      <c r="H170" s="393" t="s">
        <v>31</v>
      </c>
      <c r="I170" s="393" t="s">
        <v>23</v>
      </c>
      <c r="J170" s="393" t="s">
        <v>22</v>
      </c>
      <c r="K170" s="394" t="s">
        <v>33</v>
      </c>
    </row>
    <row r="171" spans="3:11" ht="15.5">
      <c r="C171" s="387" t="s">
        <v>1457</v>
      </c>
      <c r="D171" s="389" t="s">
        <v>31</v>
      </c>
      <c r="E171" s="390" t="s">
        <v>272</v>
      </c>
      <c r="F171" s="390" t="s">
        <v>20</v>
      </c>
      <c r="G171" s="390" t="s">
        <v>21</v>
      </c>
      <c r="H171" s="393" t="s">
        <v>841</v>
      </c>
      <c r="I171" s="393" t="s">
        <v>23</v>
      </c>
      <c r="J171" s="393" t="s">
        <v>25</v>
      </c>
      <c r="K171" s="394" t="s">
        <v>22</v>
      </c>
    </row>
    <row r="172" spans="3:11" ht="15.5">
      <c r="C172" s="387" t="s">
        <v>1456</v>
      </c>
      <c r="D172" s="389" t="s">
        <v>21</v>
      </c>
      <c r="E172" s="390" t="s">
        <v>272</v>
      </c>
      <c r="F172" s="390" t="s">
        <v>20</v>
      </c>
      <c r="G172" s="390" t="s">
        <v>25</v>
      </c>
      <c r="H172" s="393" t="s">
        <v>31</v>
      </c>
      <c r="I172" s="393" t="s">
        <v>23</v>
      </c>
      <c r="J172" s="393" t="s">
        <v>22</v>
      </c>
      <c r="K172" s="394" t="s">
        <v>32</v>
      </c>
    </row>
    <row r="173" spans="3:11" ht="15.5">
      <c r="C173" s="387" t="s">
        <v>1455</v>
      </c>
      <c r="D173" s="389" t="s">
        <v>31</v>
      </c>
      <c r="E173" s="390" t="s">
        <v>841</v>
      </c>
      <c r="F173" s="390" t="s">
        <v>32</v>
      </c>
      <c r="G173" s="390" t="s">
        <v>23</v>
      </c>
      <c r="H173" s="393" t="s">
        <v>24</v>
      </c>
      <c r="I173" s="393" t="s">
        <v>272</v>
      </c>
      <c r="J173" s="393" t="s">
        <v>34</v>
      </c>
      <c r="K173" s="394" t="s">
        <v>33</v>
      </c>
    </row>
    <row r="174" spans="3:11" ht="15.5">
      <c r="C174" s="387" t="s">
        <v>1454</v>
      </c>
      <c r="D174" s="389" t="s">
        <v>22</v>
      </c>
      <c r="E174" s="390" t="s">
        <v>841</v>
      </c>
      <c r="F174" s="390" t="s">
        <v>32</v>
      </c>
      <c r="G174" s="390" t="s">
        <v>24</v>
      </c>
      <c r="H174" s="393" t="s">
        <v>31</v>
      </c>
      <c r="I174" s="393" t="s">
        <v>272</v>
      </c>
      <c r="J174" s="393" t="s">
        <v>34</v>
      </c>
      <c r="K174" s="394" t="s">
        <v>33</v>
      </c>
    </row>
    <row r="175" spans="3:11" ht="15.5">
      <c r="C175" s="387" t="s">
        <v>1453</v>
      </c>
      <c r="D175" s="389" t="s">
        <v>22</v>
      </c>
      <c r="E175" s="390" t="s">
        <v>841</v>
      </c>
      <c r="F175" s="390" t="s">
        <v>32</v>
      </c>
      <c r="G175" s="390" t="s">
        <v>23</v>
      </c>
      <c r="H175" s="393" t="s">
        <v>24</v>
      </c>
      <c r="I175" s="393" t="s">
        <v>31</v>
      </c>
      <c r="J175" s="393" t="s">
        <v>34</v>
      </c>
      <c r="K175" s="394" t="s">
        <v>33</v>
      </c>
    </row>
    <row r="176" spans="3:11" ht="15.5">
      <c r="C176" s="387" t="s">
        <v>1452</v>
      </c>
      <c r="D176" s="389" t="s">
        <v>22</v>
      </c>
      <c r="E176" s="390" t="s">
        <v>841</v>
      </c>
      <c r="F176" s="390" t="s">
        <v>32</v>
      </c>
      <c r="G176" s="390" t="s">
        <v>23</v>
      </c>
      <c r="H176" s="393" t="s">
        <v>24</v>
      </c>
      <c r="I176" s="393" t="s">
        <v>272</v>
      </c>
      <c r="J176" s="393" t="s">
        <v>34</v>
      </c>
      <c r="K176" s="394" t="s">
        <v>33</v>
      </c>
    </row>
    <row r="177" spans="3:11" ht="15.5">
      <c r="C177" s="387" t="s">
        <v>1451</v>
      </c>
      <c r="D177" s="389" t="s">
        <v>22</v>
      </c>
      <c r="E177" s="390" t="s">
        <v>272</v>
      </c>
      <c r="F177" s="390" t="s">
        <v>841</v>
      </c>
      <c r="G177" s="390" t="s">
        <v>23</v>
      </c>
      <c r="H177" s="393" t="s">
        <v>24</v>
      </c>
      <c r="I177" s="393" t="s">
        <v>31</v>
      </c>
      <c r="J177" s="393" t="s">
        <v>34</v>
      </c>
      <c r="K177" s="394" t="s">
        <v>33</v>
      </c>
    </row>
    <row r="178" spans="3:11" ht="15.5">
      <c r="C178" s="387" t="s">
        <v>1450</v>
      </c>
      <c r="D178" s="389" t="s">
        <v>22</v>
      </c>
      <c r="E178" s="390" t="s">
        <v>272</v>
      </c>
      <c r="F178" s="390" t="s">
        <v>32</v>
      </c>
      <c r="G178" s="390" t="s">
        <v>23</v>
      </c>
      <c r="H178" s="393" t="s">
        <v>24</v>
      </c>
      <c r="I178" s="393" t="s">
        <v>31</v>
      </c>
      <c r="J178" s="393" t="s">
        <v>34</v>
      </c>
      <c r="K178" s="394" t="s">
        <v>33</v>
      </c>
    </row>
    <row r="179" spans="3:11" ht="15.5">
      <c r="C179" s="387" t="s">
        <v>1449</v>
      </c>
      <c r="D179" s="389" t="s">
        <v>22</v>
      </c>
      <c r="E179" s="390" t="s">
        <v>272</v>
      </c>
      <c r="F179" s="390" t="s">
        <v>841</v>
      </c>
      <c r="G179" s="390" t="s">
        <v>23</v>
      </c>
      <c r="H179" s="393" t="s">
        <v>24</v>
      </c>
      <c r="I179" s="393" t="s">
        <v>31</v>
      </c>
      <c r="J179" s="393" t="s">
        <v>34</v>
      </c>
      <c r="K179" s="394" t="s">
        <v>32</v>
      </c>
    </row>
    <row r="180" spans="3:11" ht="15.5">
      <c r="C180" s="387" t="s">
        <v>1448</v>
      </c>
      <c r="D180" s="389" t="s">
        <v>22</v>
      </c>
      <c r="E180" s="390" t="s">
        <v>272</v>
      </c>
      <c r="F180" s="390" t="s">
        <v>841</v>
      </c>
      <c r="G180" s="390" t="s">
        <v>23</v>
      </c>
      <c r="H180" s="393" t="s">
        <v>24</v>
      </c>
      <c r="I180" s="393" t="s">
        <v>31</v>
      </c>
      <c r="J180" s="393" t="s">
        <v>32</v>
      </c>
      <c r="K180" s="394" t="s">
        <v>33</v>
      </c>
    </row>
    <row r="181" spans="3:11" ht="15.5">
      <c r="C181" s="387" t="s">
        <v>1447</v>
      </c>
      <c r="D181" s="389" t="s">
        <v>31</v>
      </c>
      <c r="E181" s="390" t="s">
        <v>841</v>
      </c>
      <c r="F181" s="390" t="s">
        <v>32</v>
      </c>
      <c r="G181" s="390" t="s">
        <v>25</v>
      </c>
      <c r="H181" s="393" t="s">
        <v>24</v>
      </c>
      <c r="I181" s="393" t="s">
        <v>272</v>
      </c>
      <c r="J181" s="393" t="s">
        <v>34</v>
      </c>
      <c r="K181" s="394" t="s">
        <v>33</v>
      </c>
    </row>
    <row r="182" spans="3:11" ht="15.5">
      <c r="C182" s="387" t="s">
        <v>1446</v>
      </c>
      <c r="D182" s="389" t="s">
        <v>31</v>
      </c>
      <c r="E182" s="390" t="s">
        <v>841</v>
      </c>
      <c r="F182" s="390" t="s">
        <v>32</v>
      </c>
      <c r="G182" s="390" t="s">
        <v>25</v>
      </c>
      <c r="H182" s="393" t="s">
        <v>24</v>
      </c>
      <c r="I182" s="393" t="s">
        <v>23</v>
      </c>
      <c r="J182" s="393" t="s">
        <v>34</v>
      </c>
      <c r="K182" s="394" t="s">
        <v>33</v>
      </c>
    </row>
    <row r="183" spans="3:11" ht="15.5">
      <c r="C183" s="387" t="s">
        <v>1445</v>
      </c>
      <c r="D183" s="389" t="s">
        <v>32</v>
      </c>
      <c r="E183" s="390" t="s">
        <v>272</v>
      </c>
      <c r="F183" s="390" t="s">
        <v>841</v>
      </c>
      <c r="G183" s="390" t="s">
        <v>25</v>
      </c>
      <c r="H183" s="393" t="s">
        <v>24</v>
      </c>
      <c r="I183" s="393" t="s">
        <v>23</v>
      </c>
      <c r="J183" s="393" t="s">
        <v>34</v>
      </c>
      <c r="K183" s="394" t="s">
        <v>33</v>
      </c>
    </row>
    <row r="184" spans="3:11" ht="15.5">
      <c r="C184" s="387" t="s">
        <v>1444</v>
      </c>
      <c r="D184" s="389" t="s">
        <v>31</v>
      </c>
      <c r="E184" s="390" t="s">
        <v>272</v>
      </c>
      <c r="F184" s="390" t="s">
        <v>841</v>
      </c>
      <c r="G184" s="390" t="s">
        <v>25</v>
      </c>
      <c r="H184" s="393" t="s">
        <v>24</v>
      </c>
      <c r="I184" s="393" t="s">
        <v>23</v>
      </c>
      <c r="J184" s="393" t="s">
        <v>34</v>
      </c>
      <c r="K184" s="394" t="s">
        <v>33</v>
      </c>
    </row>
    <row r="185" spans="3:11" ht="15.5">
      <c r="C185" s="387" t="s">
        <v>1443</v>
      </c>
      <c r="D185" s="389" t="s">
        <v>31</v>
      </c>
      <c r="E185" s="390" t="s">
        <v>272</v>
      </c>
      <c r="F185" s="390" t="s">
        <v>32</v>
      </c>
      <c r="G185" s="390" t="s">
        <v>25</v>
      </c>
      <c r="H185" s="393" t="s">
        <v>24</v>
      </c>
      <c r="I185" s="393" t="s">
        <v>23</v>
      </c>
      <c r="J185" s="393" t="s">
        <v>34</v>
      </c>
      <c r="K185" s="394" t="s">
        <v>33</v>
      </c>
    </row>
    <row r="186" spans="3:11" ht="15.5">
      <c r="C186" s="387" t="s">
        <v>1442</v>
      </c>
      <c r="D186" s="389" t="s">
        <v>31</v>
      </c>
      <c r="E186" s="390" t="s">
        <v>272</v>
      </c>
      <c r="F186" s="390" t="s">
        <v>841</v>
      </c>
      <c r="G186" s="390" t="s">
        <v>25</v>
      </c>
      <c r="H186" s="393" t="s">
        <v>24</v>
      </c>
      <c r="I186" s="393" t="s">
        <v>23</v>
      </c>
      <c r="J186" s="393" t="s">
        <v>34</v>
      </c>
      <c r="K186" s="394" t="s">
        <v>32</v>
      </c>
    </row>
    <row r="187" spans="3:11" ht="15.5">
      <c r="C187" s="387" t="s">
        <v>1441</v>
      </c>
      <c r="D187" s="389" t="s">
        <v>31</v>
      </c>
      <c r="E187" s="390" t="s">
        <v>272</v>
      </c>
      <c r="F187" s="390" t="s">
        <v>841</v>
      </c>
      <c r="G187" s="390" t="s">
        <v>25</v>
      </c>
      <c r="H187" s="393" t="s">
        <v>24</v>
      </c>
      <c r="I187" s="393" t="s">
        <v>23</v>
      </c>
      <c r="J187" s="393" t="s">
        <v>32</v>
      </c>
      <c r="K187" s="394" t="s">
        <v>33</v>
      </c>
    </row>
    <row r="188" spans="3:11" ht="15.5">
      <c r="C188" s="387" t="s">
        <v>1440</v>
      </c>
      <c r="D188" s="389" t="s">
        <v>22</v>
      </c>
      <c r="E188" s="390" t="s">
        <v>841</v>
      </c>
      <c r="F188" s="390" t="s">
        <v>32</v>
      </c>
      <c r="G188" s="390" t="s">
        <v>25</v>
      </c>
      <c r="H188" s="393" t="s">
        <v>24</v>
      </c>
      <c r="I188" s="393" t="s">
        <v>31</v>
      </c>
      <c r="J188" s="393" t="s">
        <v>34</v>
      </c>
      <c r="K188" s="394" t="s">
        <v>33</v>
      </c>
    </row>
    <row r="189" spans="3:11" ht="15.5">
      <c r="C189" s="387" t="s">
        <v>1439</v>
      </c>
      <c r="D189" s="389" t="s">
        <v>22</v>
      </c>
      <c r="E189" s="390" t="s">
        <v>841</v>
      </c>
      <c r="F189" s="390" t="s">
        <v>32</v>
      </c>
      <c r="G189" s="390" t="s">
        <v>25</v>
      </c>
      <c r="H189" s="393" t="s">
        <v>24</v>
      </c>
      <c r="I189" s="393" t="s">
        <v>272</v>
      </c>
      <c r="J189" s="393" t="s">
        <v>34</v>
      </c>
      <c r="K189" s="394" t="s">
        <v>33</v>
      </c>
    </row>
    <row r="190" spans="3:11" ht="15.5">
      <c r="C190" s="387" t="s">
        <v>1438</v>
      </c>
      <c r="D190" s="389" t="s">
        <v>22</v>
      </c>
      <c r="E190" s="390" t="s">
        <v>272</v>
      </c>
      <c r="F190" s="390" t="s">
        <v>841</v>
      </c>
      <c r="G190" s="390" t="s">
        <v>25</v>
      </c>
      <c r="H190" s="393" t="s">
        <v>24</v>
      </c>
      <c r="I190" s="393" t="s">
        <v>31</v>
      </c>
      <c r="J190" s="393" t="s">
        <v>34</v>
      </c>
      <c r="K190" s="394" t="s">
        <v>33</v>
      </c>
    </row>
    <row r="191" spans="3:11" ht="15.5">
      <c r="C191" s="387" t="s">
        <v>1437</v>
      </c>
      <c r="D191" s="389" t="s">
        <v>22</v>
      </c>
      <c r="E191" s="390" t="s">
        <v>272</v>
      </c>
      <c r="F191" s="390" t="s">
        <v>32</v>
      </c>
      <c r="G191" s="390" t="s">
        <v>25</v>
      </c>
      <c r="H191" s="393" t="s">
        <v>24</v>
      </c>
      <c r="I191" s="393" t="s">
        <v>31</v>
      </c>
      <c r="J191" s="393" t="s">
        <v>34</v>
      </c>
      <c r="K191" s="394" t="s">
        <v>33</v>
      </c>
    </row>
    <row r="192" spans="3:11" ht="15.5">
      <c r="C192" s="387" t="s">
        <v>1436</v>
      </c>
      <c r="D192" s="389" t="s">
        <v>22</v>
      </c>
      <c r="E192" s="390" t="s">
        <v>272</v>
      </c>
      <c r="F192" s="390" t="s">
        <v>841</v>
      </c>
      <c r="G192" s="390" t="s">
        <v>25</v>
      </c>
      <c r="H192" s="393" t="s">
        <v>24</v>
      </c>
      <c r="I192" s="393" t="s">
        <v>31</v>
      </c>
      <c r="J192" s="393" t="s">
        <v>34</v>
      </c>
      <c r="K192" s="394" t="s">
        <v>32</v>
      </c>
    </row>
    <row r="193" spans="3:11" ht="15.5">
      <c r="C193" s="387" t="s">
        <v>1435</v>
      </c>
      <c r="D193" s="389" t="s">
        <v>22</v>
      </c>
      <c r="E193" s="390" t="s">
        <v>272</v>
      </c>
      <c r="F193" s="390" t="s">
        <v>841</v>
      </c>
      <c r="G193" s="390" t="s">
        <v>25</v>
      </c>
      <c r="H193" s="393" t="s">
        <v>24</v>
      </c>
      <c r="I193" s="393" t="s">
        <v>31</v>
      </c>
      <c r="J193" s="393" t="s">
        <v>32</v>
      </c>
      <c r="K193" s="394" t="s">
        <v>33</v>
      </c>
    </row>
    <row r="194" spans="3:11" ht="15.5">
      <c r="C194" s="387" t="s">
        <v>1434</v>
      </c>
      <c r="D194" s="389" t="s">
        <v>22</v>
      </c>
      <c r="E194" s="390" t="s">
        <v>841</v>
      </c>
      <c r="F194" s="390" t="s">
        <v>32</v>
      </c>
      <c r="G194" s="390" t="s">
        <v>25</v>
      </c>
      <c r="H194" s="393" t="s">
        <v>24</v>
      </c>
      <c r="I194" s="393" t="s">
        <v>23</v>
      </c>
      <c r="J194" s="393" t="s">
        <v>34</v>
      </c>
      <c r="K194" s="394" t="s">
        <v>33</v>
      </c>
    </row>
    <row r="195" spans="3:11" ht="15.5">
      <c r="C195" s="387" t="s">
        <v>1433</v>
      </c>
      <c r="D195" s="389" t="s">
        <v>31</v>
      </c>
      <c r="E195" s="390" t="s">
        <v>841</v>
      </c>
      <c r="F195" s="390" t="s">
        <v>22</v>
      </c>
      <c r="G195" s="390" t="s">
        <v>25</v>
      </c>
      <c r="H195" s="393" t="s">
        <v>24</v>
      </c>
      <c r="I195" s="393" t="s">
        <v>23</v>
      </c>
      <c r="J195" s="393" t="s">
        <v>34</v>
      </c>
      <c r="K195" s="394" t="s">
        <v>33</v>
      </c>
    </row>
    <row r="196" spans="3:11" ht="15.5">
      <c r="C196" s="387" t="s">
        <v>1432</v>
      </c>
      <c r="D196" s="389" t="s">
        <v>31</v>
      </c>
      <c r="E196" s="390" t="s">
        <v>22</v>
      </c>
      <c r="F196" s="390" t="s">
        <v>32</v>
      </c>
      <c r="G196" s="390" t="s">
        <v>25</v>
      </c>
      <c r="H196" s="393" t="s">
        <v>24</v>
      </c>
      <c r="I196" s="393" t="s">
        <v>23</v>
      </c>
      <c r="J196" s="393" t="s">
        <v>34</v>
      </c>
      <c r="K196" s="394" t="s">
        <v>33</v>
      </c>
    </row>
    <row r="197" spans="3:11" ht="15.5">
      <c r="C197" s="387" t="s">
        <v>1431</v>
      </c>
      <c r="D197" s="389" t="s">
        <v>31</v>
      </c>
      <c r="E197" s="390" t="s">
        <v>841</v>
      </c>
      <c r="F197" s="390" t="s">
        <v>22</v>
      </c>
      <c r="G197" s="390" t="s">
        <v>25</v>
      </c>
      <c r="H197" s="393" t="s">
        <v>24</v>
      </c>
      <c r="I197" s="393" t="s">
        <v>23</v>
      </c>
      <c r="J197" s="393" t="s">
        <v>34</v>
      </c>
      <c r="K197" s="394" t="s">
        <v>32</v>
      </c>
    </row>
    <row r="198" spans="3:11" ht="15.5">
      <c r="C198" s="387" t="s">
        <v>1430</v>
      </c>
      <c r="D198" s="389" t="s">
        <v>31</v>
      </c>
      <c r="E198" s="390" t="s">
        <v>841</v>
      </c>
      <c r="F198" s="390" t="s">
        <v>22</v>
      </c>
      <c r="G198" s="390" t="s">
        <v>25</v>
      </c>
      <c r="H198" s="393" t="s">
        <v>24</v>
      </c>
      <c r="I198" s="393" t="s">
        <v>23</v>
      </c>
      <c r="J198" s="393" t="s">
        <v>32</v>
      </c>
      <c r="K198" s="394" t="s">
        <v>33</v>
      </c>
    </row>
    <row r="199" spans="3:11" ht="15.5">
      <c r="C199" s="387" t="s">
        <v>1429</v>
      </c>
      <c r="D199" s="389" t="s">
        <v>22</v>
      </c>
      <c r="E199" s="390" t="s">
        <v>272</v>
      </c>
      <c r="F199" s="390" t="s">
        <v>841</v>
      </c>
      <c r="G199" s="390" t="s">
        <v>25</v>
      </c>
      <c r="H199" s="393" t="s">
        <v>24</v>
      </c>
      <c r="I199" s="393" t="s">
        <v>23</v>
      </c>
      <c r="J199" s="393" t="s">
        <v>34</v>
      </c>
      <c r="K199" s="394" t="s">
        <v>33</v>
      </c>
    </row>
    <row r="200" spans="3:11" ht="15.5">
      <c r="C200" s="387" t="s">
        <v>1428</v>
      </c>
      <c r="D200" s="389" t="s">
        <v>22</v>
      </c>
      <c r="E200" s="390" t="s">
        <v>272</v>
      </c>
      <c r="F200" s="390" t="s">
        <v>32</v>
      </c>
      <c r="G200" s="390" t="s">
        <v>25</v>
      </c>
      <c r="H200" s="393" t="s">
        <v>24</v>
      </c>
      <c r="I200" s="393" t="s">
        <v>23</v>
      </c>
      <c r="J200" s="393" t="s">
        <v>34</v>
      </c>
      <c r="K200" s="394" t="s">
        <v>33</v>
      </c>
    </row>
    <row r="201" spans="3:11" ht="15.5">
      <c r="C201" s="387" t="s">
        <v>1427</v>
      </c>
      <c r="D201" s="389" t="s">
        <v>22</v>
      </c>
      <c r="E201" s="390" t="s">
        <v>272</v>
      </c>
      <c r="F201" s="390" t="s">
        <v>841</v>
      </c>
      <c r="G201" s="390" t="s">
        <v>25</v>
      </c>
      <c r="H201" s="393" t="s">
        <v>24</v>
      </c>
      <c r="I201" s="393" t="s">
        <v>23</v>
      </c>
      <c r="J201" s="393" t="s">
        <v>34</v>
      </c>
      <c r="K201" s="394" t="s">
        <v>32</v>
      </c>
    </row>
    <row r="202" spans="3:11" ht="15.5">
      <c r="C202" s="387" t="s">
        <v>1426</v>
      </c>
      <c r="D202" s="389" t="s">
        <v>22</v>
      </c>
      <c r="E202" s="390" t="s">
        <v>272</v>
      </c>
      <c r="F202" s="390" t="s">
        <v>841</v>
      </c>
      <c r="G202" s="390" t="s">
        <v>25</v>
      </c>
      <c r="H202" s="393" t="s">
        <v>24</v>
      </c>
      <c r="I202" s="393" t="s">
        <v>23</v>
      </c>
      <c r="J202" s="393" t="s">
        <v>32</v>
      </c>
      <c r="K202" s="394" t="s">
        <v>33</v>
      </c>
    </row>
    <row r="203" spans="3:11" ht="15.5">
      <c r="C203" s="387" t="s">
        <v>1425</v>
      </c>
      <c r="D203" s="389" t="s">
        <v>31</v>
      </c>
      <c r="E203" s="390" t="s">
        <v>272</v>
      </c>
      <c r="F203" s="390" t="s">
        <v>22</v>
      </c>
      <c r="G203" s="390" t="s">
        <v>25</v>
      </c>
      <c r="H203" s="393" t="s">
        <v>24</v>
      </c>
      <c r="I203" s="393" t="s">
        <v>23</v>
      </c>
      <c r="J203" s="393" t="s">
        <v>34</v>
      </c>
      <c r="K203" s="394" t="s">
        <v>33</v>
      </c>
    </row>
    <row r="204" spans="3:11" ht="15.5">
      <c r="C204" s="387" t="s">
        <v>1424</v>
      </c>
      <c r="D204" s="389" t="s">
        <v>31</v>
      </c>
      <c r="E204" s="390" t="s">
        <v>272</v>
      </c>
      <c r="F204" s="390" t="s">
        <v>841</v>
      </c>
      <c r="G204" s="390" t="s">
        <v>25</v>
      </c>
      <c r="H204" s="393" t="s">
        <v>24</v>
      </c>
      <c r="I204" s="393" t="s">
        <v>23</v>
      </c>
      <c r="J204" s="393" t="s">
        <v>34</v>
      </c>
      <c r="K204" s="394" t="s">
        <v>22</v>
      </c>
    </row>
    <row r="205" spans="3:11" ht="15.5">
      <c r="C205" s="387" t="s">
        <v>1423</v>
      </c>
      <c r="D205" s="389" t="s">
        <v>31</v>
      </c>
      <c r="E205" s="390" t="s">
        <v>272</v>
      </c>
      <c r="F205" s="390" t="s">
        <v>841</v>
      </c>
      <c r="G205" s="390" t="s">
        <v>25</v>
      </c>
      <c r="H205" s="393" t="s">
        <v>24</v>
      </c>
      <c r="I205" s="393" t="s">
        <v>23</v>
      </c>
      <c r="J205" s="393" t="s">
        <v>22</v>
      </c>
      <c r="K205" s="394" t="s">
        <v>33</v>
      </c>
    </row>
    <row r="206" spans="3:11" ht="15.5">
      <c r="C206" s="387" t="s">
        <v>1422</v>
      </c>
      <c r="D206" s="389" t="s">
        <v>31</v>
      </c>
      <c r="E206" s="390" t="s">
        <v>272</v>
      </c>
      <c r="F206" s="390" t="s">
        <v>22</v>
      </c>
      <c r="G206" s="390" t="s">
        <v>25</v>
      </c>
      <c r="H206" s="393" t="s">
        <v>24</v>
      </c>
      <c r="I206" s="393" t="s">
        <v>23</v>
      </c>
      <c r="J206" s="393" t="s">
        <v>34</v>
      </c>
      <c r="K206" s="394" t="s">
        <v>32</v>
      </c>
    </row>
    <row r="207" spans="3:11" ht="15.5">
      <c r="C207" s="387" t="s">
        <v>1421</v>
      </c>
      <c r="D207" s="389" t="s">
        <v>31</v>
      </c>
      <c r="E207" s="390" t="s">
        <v>272</v>
      </c>
      <c r="F207" s="390" t="s">
        <v>22</v>
      </c>
      <c r="G207" s="390" t="s">
        <v>25</v>
      </c>
      <c r="H207" s="393" t="s">
        <v>24</v>
      </c>
      <c r="I207" s="393" t="s">
        <v>23</v>
      </c>
      <c r="J207" s="393" t="s">
        <v>32</v>
      </c>
      <c r="K207" s="394" t="s">
        <v>33</v>
      </c>
    </row>
    <row r="208" spans="3:11" ht="15.5">
      <c r="C208" s="387" t="s">
        <v>1420</v>
      </c>
      <c r="D208" s="389" t="s">
        <v>31</v>
      </c>
      <c r="E208" s="390" t="s">
        <v>272</v>
      </c>
      <c r="F208" s="390" t="s">
        <v>841</v>
      </c>
      <c r="G208" s="390" t="s">
        <v>25</v>
      </c>
      <c r="H208" s="393" t="s">
        <v>24</v>
      </c>
      <c r="I208" s="393" t="s">
        <v>23</v>
      </c>
      <c r="J208" s="393" t="s">
        <v>22</v>
      </c>
      <c r="K208" s="394" t="s">
        <v>32</v>
      </c>
    </row>
    <row r="209" spans="3:11" ht="15.5">
      <c r="C209" s="387" t="s">
        <v>1419</v>
      </c>
      <c r="D209" s="389" t="s">
        <v>31</v>
      </c>
      <c r="E209" s="390" t="s">
        <v>841</v>
      </c>
      <c r="F209" s="390" t="s">
        <v>32</v>
      </c>
      <c r="G209" s="390" t="s">
        <v>21</v>
      </c>
      <c r="H209" s="393" t="s">
        <v>24</v>
      </c>
      <c r="I209" s="393" t="s">
        <v>272</v>
      </c>
      <c r="J209" s="393" t="s">
        <v>34</v>
      </c>
      <c r="K209" s="394" t="s">
        <v>33</v>
      </c>
    </row>
    <row r="210" spans="3:11" ht="15.5">
      <c r="C210" s="387" t="s">
        <v>1418</v>
      </c>
      <c r="D210" s="389" t="s">
        <v>31</v>
      </c>
      <c r="E210" s="390" t="s">
        <v>841</v>
      </c>
      <c r="F210" s="390" t="s">
        <v>32</v>
      </c>
      <c r="G210" s="390" t="s">
        <v>21</v>
      </c>
      <c r="H210" s="393" t="s">
        <v>24</v>
      </c>
      <c r="I210" s="393" t="s">
        <v>23</v>
      </c>
      <c r="J210" s="393" t="s">
        <v>34</v>
      </c>
      <c r="K210" s="394" t="s">
        <v>33</v>
      </c>
    </row>
    <row r="211" spans="3:11" ht="15.5">
      <c r="C211" s="387" t="s">
        <v>1417</v>
      </c>
      <c r="D211" s="389" t="s">
        <v>32</v>
      </c>
      <c r="E211" s="390" t="s">
        <v>272</v>
      </c>
      <c r="F211" s="390" t="s">
        <v>841</v>
      </c>
      <c r="G211" s="390" t="s">
        <v>21</v>
      </c>
      <c r="H211" s="393" t="s">
        <v>24</v>
      </c>
      <c r="I211" s="393" t="s">
        <v>23</v>
      </c>
      <c r="J211" s="393" t="s">
        <v>34</v>
      </c>
      <c r="K211" s="394" t="s">
        <v>33</v>
      </c>
    </row>
    <row r="212" spans="3:11" ht="15.5">
      <c r="C212" s="387" t="s">
        <v>1416</v>
      </c>
      <c r="D212" s="389" t="s">
        <v>31</v>
      </c>
      <c r="E212" s="390" t="s">
        <v>272</v>
      </c>
      <c r="F212" s="390" t="s">
        <v>841</v>
      </c>
      <c r="G212" s="390" t="s">
        <v>21</v>
      </c>
      <c r="H212" s="393" t="s">
        <v>24</v>
      </c>
      <c r="I212" s="393" t="s">
        <v>23</v>
      </c>
      <c r="J212" s="393" t="s">
        <v>34</v>
      </c>
      <c r="K212" s="394" t="s">
        <v>33</v>
      </c>
    </row>
    <row r="213" spans="3:11" ht="15.5">
      <c r="C213" s="387" t="s">
        <v>1415</v>
      </c>
      <c r="D213" s="389" t="s">
        <v>31</v>
      </c>
      <c r="E213" s="390" t="s">
        <v>272</v>
      </c>
      <c r="F213" s="390" t="s">
        <v>32</v>
      </c>
      <c r="G213" s="390" t="s">
        <v>21</v>
      </c>
      <c r="H213" s="393" t="s">
        <v>24</v>
      </c>
      <c r="I213" s="393" t="s">
        <v>23</v>
      </c>
      <c r="J213" s="393" t="s">
        <v>34</v>
      </c>
      <c r="K213" s="394" t="s">
        <v>33</v>
      </c>
    </row>
    <row r="214" spans="3:11" ht="15.5">
      <c r="C214" s="387" t="s">
        <v>1414</v>
      </c>
      <c r="D214" s="389" t="s">
        <v>31</v>
      </c>
      <c r="E214" s="390" t="s">
        <v>272</v>
      </c>
      <c r="F214" s="390" t="s">
        <v>841</v>
      </c>
      <c r="G214" s="390" t="s">
        <v>21</v>
      </c>
      <c r="H214" s="393" t="s">
        <v>24</v>
      </c>
      <c r="I214" s="393" t="s">
        <v>23</v>
      </c>
      <c r="J214" s="393" t="s">
        <v>34</v>
      </c>
      <c r="K214" s="394" t="s">
        <v>32</v>
      </c>
    </row>
    <row r="215" spans="3:11" ht="15.5">
      <c r="C215" s="387" t="s">
        <v>1413</v>
      </c>
      <c r="D215" s="389" t="s">
        <v>31</v>
      </c>
      <c r="E215" s="390" t="s">
        <v>272</v>
      </c>
      <c r="F215" s="390" t="s">
        <v>841</v>
      </c>
      <c r="G215" s="390" t="s">
        <v>21</v>
      </c>
      <c r="H215" s="393" t="s">
        <v>24</v>
      </c>
      <c r="I215" s="393" t="s">
        <v>23</v>
      </c>
      <c r="J215" s="393" t="s">
        <v>32</v>
      </c>
      <c r="K215" s="394" t="s">
        <v>33</v>
      </c>
    </row>
    <row r="216" spans="3:11" ht="15.5">
      <c r="C216" s="387" t="s">
        <v>1412</v>
      </c>
      <c r="D216" s="389" t="s">
        <v>22</v>
      </c>
      <c r="E216" s="390" t="s">
        <v>841</v>
      </c>
      <c r="F216" s="390" t="s">
        <v>32</v>
      </c>
      <c r="G216" s="390" t="s">
        <v>21</v>
      </c>
      <c r="H216" s="393" t="s">
        <v>24</v>
      </c>
      <c r="I216" s="393" t="s">
        <v>31</v>
      </c>
      <c r="J216" s="393" t="s">
        <v>34</v>
      </c>
      <c r="K216" s="394" t="s">
        <v>33</v>
      </c>
    </row>
    <row r="217" spans="3:11" ht="15.5">
      <c r="C217" s="387" t="s">
        <v>1411</v>
      </c>
      <c r="D217" s="389" t="s">
        <v>22</v>
      </c>
      <c r="E217" s="390" t="s">
        <v>841</v>
      </c>
      <c r="F217" s="390" t="s">
        <v>32</v>
      </c>
      <c r="G217" s="390" t="s">
        <v>21</v>
      </c>
      <c r="H217" s="393" t="s">
        <v>24</v>
      </c>
      <c r="I217" s="393" t="s">
        <v>272</v>
      </c>
      <c r="J217" s="393" t="s">
        <v>34</v>
      </c>
      <c r="K217" s="394" t="s">
        <v>33</v>
      </c>
    </row>
    <row r="218" spans="3:11" ht="15.5">
      <c r="C218" s="387" t="s">
        <v>1410</v>
      </c>
      <c r="D218" s="389" t="s">
        <v>22</v>
      </c>
      <c r="E218" s="390" t="s">
        <v>272</v>
      </c>
      <c r="F218" s="390" t="s">
        <v>841</v>
      </c>
      <c r="G218" s="390" t="s">
        <v>21</v>
      </c>
      <c r="H218" s="393" t="s">
        <v>24</v>
      </c>
      <c r="I218" s="393" t="s">
        <v>31</v>
      </c>
      <c r="J218" s="393" t="s">
        <v>34</v>
      </c>
      <c r="K218" s="394" t="s">
        <v>33</v>
      </c>
    </row>
    <row r="219" spans="3:11" ht="15.5">
      <c r="C219" s="387" t="s">
        <v>1409</v>
      </c>
      <c r="D219" s="389" t="s">
        <v>22</v>
      </c>
      <c r="E219" s="390" t="s">
        <v>272</v>
      </c>
      <c r="F219" s="390" t="s">
        <v>32</v>
      </c>
      <c r="G219" s="390" t="s">
        <v>21</v>
      </c>
      <c r="H219" s="393" t="s">
        <v>24</v>
      </c>
      <c r="I219" s="393" t="s">
        <v>31</v>
      </c>
      <c r="J219" s="393" t="s">
        <v>34</v>
      </c>
      <c r="K219" s="394" t="s">
        <v>33</v>
      </c>
    </row>
    <row r="220" spans="3:11" ht="15.5">
      <c r="C220" s="387" t="s">
        <v>1408</v>
      </c>
      <c r="D220" s="389" t="s">
        <v>22</v>
      </c>
      <c r="E220" s="390" t="s">
        <v>272</v>
      </c>
      <c r="F220" s="390" t="s">
        <v>841</v>
      </c>
      <c r="G220" s="390" t="s">
        <v>21</v>
      </c>
      <c r="H220" s="393" t="s">
        <v>24</v>
      </c>
      <c r="I220" s="393" t="s">
        <v>31</v>
      </c>
      <c r="J220" s="393" t="s">
        <v>34</v>
      </c>
      <c r="K220" s="394" t="s">
        <v>32</v>
      </c>
    </row>
    <row r="221" spans="3:11" ht="15.5">
      <c r="C221" s="387" t="s">
        <v>1407</v>
      </c>
      <c r="D221" s="389" t="s">
        <v>22</v>
      </c>
      <c r="E221" s="390" t="s">
        <v>272</v>
      </c>
      <c r="F221" s="390" t="s">
        <v>841</v>
      </c>
      <c r="G221" s="390" t="s">
        <v>21</v>
      </c>
      <c r="H221" s="393" t="s">
        <v>24</v>
      </c>
      <c r="I221" s="393" t="s">
        <v>31</v>
      </c>
      <c r="J221" s="393" t="s">
        <v>32</v>
      </c>
      <c r="K221" s="394" t="s">
        <v>33</v>
      </c>
    </row>
    <row r="222" spans="3:11" ht="15.5">
      <c r="C222" s="387" t="s">
        <v>1406</v>
      </c>
      <c r="D222" s="389" t="s">
        <v>22</v>
      </c>
      <c r="E222" s="390" t="s">
        <v>841</v>
      </c>
      <c r="F222" s="390" t="s">
        <v>32</v>
      </c>
      <c r="G222" s="390" t="s">
        <v>21</v>
      </c>
      <c r="H222" s="393" t="s">
        <v>24</v>
      </c>
      <c r="I222" s="393" t="s">
        <v>23</v>
      </c>
      <c r="J222" s="393" t="s">
        <v>34</v>
      </c>
      <c r="K222" s="394" t="s">
        <v>33</v>
      </c>
    </row>
    <row r="223" spans="3:11" ht="15.5">
      <c r="C223" s="387" t="s">
        <v>1405</v>
      </c>
      <c r="D223" s="389" t="s">
        <v>31</v>
      </c>
      <c r="E223" s="390" t="s">
        <v>841</v>
      </c>
      <c r="F223" s="390" t="s">
        <v>22</v>
      </c>
      <c r="G223" s="390" t="s">
        <v>21</v>
      </c>
      <c r="H223" s="393" t="s">
        <v>24</v>
      </c>
      <c r="I223" s="393" t="s">
        <v>23</v>
      </c>
      <c r="J223" s="393" t="s">
        <v>34</v>
      </c>
      <c r="K223" s="394" t="s">
        <v>33</v>
      </c>
    </row>
    <row r="224" spans="3:11" ht="15.5">
      <c r="C224" s="387" t="s">
        <v>1404</v>
      </c>
      <c r="D224" s="389" t="s">
        <v>31</v>
      </c>
      <c r="E224" s="390" t="s">
        <v>22</v>
      </c>
      <c r="F224" s="390" t="s">
        <v>32</v>
      </c>
      <c r="G224" s="390" t="s">
        <v>21</v>
      </c>
      <c r="H224" s="393" t="s">
        <v>24</v>
      </c>
      <c r="I224" s="393" t="s">
        <v>23</v>
      </c>
      <c r="J224" s="393" t="s">
        <v>34</v>
      </c>
      <c r="K224" s="394" t="s">
        <v>33</v>
      </c>
    </row>
    <row r="225" spans="3:11" ht="15.5">
      <c r="C225" s="387" t="s">
        <v>1403</v>
      </c>
      <c r="D225" s="389" t="s">
        <v>31</v>
      </c>
      <c r="E225" s="390" t="s">
        <v>841</v>
      </c>
      <c r="F225" s="390" t="s">
        <v>22</v>
      </c>
      <c r="G225" s="390" t="s">
        <v>21</v>
      </c>
      <c r="H225" s="393" t="s">
        <v>24</v>
      </c>
      <c r="I225" s="393" t="s">
        <v>23</v>
      </c>
      <c r="J225" s="393" t="s">
        <v>34</v>
      </c>
      <c r="K225" s="394" t="s">
        <v>32</v>
      </c>
    </row>
    <row r="226" spans="3:11" ht="15.5">
      <c r="C226" s="387" t="s">
        <v>1402</v>
      </c>
      <c r="D226" s="389" t="s">
        <v>31</v>
      </c>
      <c r="E226" s="390" t="s">
        <v>841</v>
      </c>
      <c r="F226" s="390" t="s">
        <v>22</v>
      </c>
      <c r="G226" s="390" t="s">
        <v>21</v>
      </c>
      <c r="H226" s="393" t="s">
        <v>24</v>
      </c>
      <c r="I226" s="393" t="s">
        <v>23</v>
      </c>
      <c r="J226" s="393" t="s">
        <v>32</v>
      </c>
      <c r="K226" s="394" t="s">
        <v>33</v>
      </c>
    </row>
    <row r="227" spans="3:11" ht="15.5">
      <c r="C227" s="387" t="s">
        <v>1401</v>
      </c>
      <c r="D227" s="389" t="s">
        <v>22</v>
      </c>
      <c r="E227" s="390" t="s">
        <v>272</v>
      </c>
      <c r="F227" s="390" t="s">
        <v>841</v>
      </c>
      <c r="G227" s="390" t="s">
        <v>21</v>
      </c>
      <c r="H227" s="393" t="s">
        <v>24</v>
      </c>
      <c r="I227" s="393" t="s">
        <v>23</v>
      </c>
      <c r="J227" s="393" t="s">
        <v>34</v>
      </c>
      <c r="K227" s="394" t="s">
        <v>33</v>
      </c>
    </row>
    <row r="228" spans="3:11" ht="15.5">
      <c r="C228" s="387" t="s">
        <v>1400</v>
      </c>
      <c r="D228" s="389" t="s">
        <v>22</v>
      </c>
      <c r="E228" s="390" t="s">
        <v>272</v>
      </c>
      <c r="F228" s="390" t="s">
        <v>32</v>
      </c>
      <c r="G228" s="390" t="s">
        <v>21</v>
      </c>
      <c r="H228" s="393" t="s">
        <v>24</v>
      </c>
      <c r="I228" s="393" t="s">
        <v>23</v>
      </c>
      <c r="J228" s="393" t="s">
        <v>34</v>
      </c>
      <c r="K228" s="394" t="s">
        <v>33</v>
      </c>
    </row>
    <row r="229" spans="3:11" ht="15.5">
      <c r="C229" s="387" t="s">
        <v>1399</v>
      </c>
      <c r="D229" s="389" t="s">
        <v>22</v>
      </c>
      <c r="E229" s="390" t="s">
        <v>272</v>
      </c>
      <c r="F229" s="390" t="s">
        <v>841</v>
      </c>
      <c r="G229" s="390" t="s">
        <v>21</v>
      </c>
      <c r="H229" s="393" t="s">
        <v>24</v>
      </c>
      <c r="I229" s="393" t="s">
        <v>23</v>
      </c>
      <c r="J229" s="393" t="s">
        <v>34</v>
      </c>
      <c r="K229" s="394" t="s">
        <v>32</v>
      </c>
    </row>
    <row r="230" spans="3:11" ht="15.5">
      <c r="C230" s="387" t="s">
        <v>1398</v>
      </c>
      <c r="D230" s="389" t="s">
        <v>22</v>
      </c>
      <c r="E230" s="390" t="s">
        <v>272</v>
      </c>
      <c r="F230" s="390" t="s">
        <v>841</v>
      </c>
      <c r="G230" s="390" t="s">
        <v>21</v>
      </c>
      <c r="H230" s="393" t="s">
        <v>24</v>
      </c>
      <c r="I230" s="393" t="s">
        <v>23</v>
      </c>
      <c r="J230" s="393" t="s">
        <v>32</v>
      </c>
      <c r="K230" s="394" t="s">
        <v>33</v>
      </c>
    </row>
    <row r="231" spans="3:11" ht="15.5">
      <c r="C231" s="387" t="s">
        <v>1397</v>
      </c>
      <c r="D231" s="389" t="s">
        <v>31</v>
      </c>
      <c r="E231" s="390" t="s">
        <v>272</v>
      </c>
      <c r="F231" s="390" t="s">
        <v>22</v>
      </c>
      <c r="G231" s="390" t="s">
        <v>21</v>
      </c>
      <c r="H231" s="393" t="s">
        <v>24</v>
      </c>
      <c r="I231" s="393" t="s">
        <v>23</v>
      </c>
      <c r="J231" s="393" t="s">
        <v>34</v>
      </c>
      <c r="K231" s="394" t="s">
        <v>33</v>
      </c>
    </row>
    <row r="232" spans="3:11" ht="15.5">
      <c r="C232" s="387" t="s">
        <v>1396</v>
      </c>
      <c r="D232" s="389" t="s">
        <v>31</v>
      </c>
      <c r="E232" s="390" t="s">
        <v>272</v>
      </c>
      <c r="F232" s="390" t="s">
        <v>841</v>
      </c>
      <c r="G232" s="390" t="s">
        <v>21</v>
      </c>
      <c r="H232" s="393" t="s">
        <v>24</v>
      </c>
      <c r="I232" s="393" t="s">
        <v>23</v>
      </c>
      <c r="J232" s="393" t="s">
        <v>34</v>
      </c>
      <c r="K232" s="394" t="s">
        <v>22</v>
      </c>
    </row>
    <row r="233" spans="3:11" ht="15.5">
      <c r="C233" s="387" t="s">
        <v>1395</v>
      </c>
      <c r="D233" s="389" t="s">
        <v>31</v>
      </c>
      <c r="E233" s="390" t="s">
        <v>272</v>
      </c>
      <c r="F233" s="390" t="s">
        <v>841</v>
      </c>
      <c r="G233" s="390" t="s">
        <v>21</v>
      </c>
      <c r="H233" s="393" t="s">
        <v>24</v>
      </c>
      <c r="I233" s="393" t="s">
        <v>23</v>
      </c>
      <c r="J233" s="393" t="s">
        <v>22</v>
      </c>
      <c r="K233" s="394" t="s">
        <v>33</v>
      </c>
    </row>
    <row r="234" spans="3:11" ht="15.5">
      <c r="C234" s="387" t="s">
        <v>1394</v>
      </c>
      <c r="D234" s="389" t="s">
        <v>31</v>
      </c>
      <c r="E234" s="390" t="s">
        <v>272</v>
      </c>
      <c r="F234" s="390" t="s">
        <v>22</v>
      </c>
      <c r="G234" s="390" t="s">
        <v>21</v>
      </c>
      <c r="H234" s="393" t="s">
        <v>24</v>
      </c>
      <c r="I234" s="393" t="s">
        <v>23</v>
      </c>
      <c r="J234" s="393" t="s">
        <v>34</v>
      </c>
      <c r="K234" s="394" t="s">
        <v>32</v>
      </c>
    </row>
    <row r="235" spans="3:11" ht="15.5">
      <c r="C235" s="387" t="s">
        <v>1393</v>
      </c>
      <c r="D235" s="389" t="s">
        <v>31</v>
      </c>
      <c r="E235" s="390" t="s">
        <v>272</v>
      </c>
      <c r="F235" s="390" t="s">
        <v>22</v>
      </c>
      <c r="G235" s="390" t="s">
        <v>21</v>
      </c>
      <c r="H235" s="393" t="s">
        <v>24</v>
      </c>
      <c r="I235" s="393" t="s">
        <v>23</v>
      </c>
      <c r="J235" s="393" t="s">
        <v>32</v>
      </c>
      <c r="K235" s="394" t="s">
        <v>33</v>
      </c>
    </row>
    <row r="236" spans="3:11" ht="15.5">
      <c r="C236" s="387" t="s">
        <v>1392</v>
      </c>
      <c r="D236" s="389" t="s">
        <v>31</v>
      </c>
      <c r="E236" s="390" t="s">
        <v>272</v>
      </c>
      <c r="F236" s="390" t="s">
        <v>841</v>
      </c>
      <c r="G236" s="390" t="s">
        <v>21</v>
      </c>
      <c r="H236" s="393" t="s">
        <v>24</v>
      </c>
      <c r="I236" s="393" t="s">
        <v>23</v>
      </c>
      <c r="J236" s="393" t="s">
        <v>22</v>
      </c>
      <c r="K236" s="394" t="s">
        <v>32</v>
      </c>
    </row>
    <row r="237" spans="3:11" ht="15.5">
      <c r="C237" s="387" t="s">
        <v>1391</v>
      </c>
      <c r="D237" s="389" t="s">
        <v>31</v>
      </c>
      <c r="E237" s="390" t="s">
        <v>841</v>
      </c>
      <c r="F237" s="390" t="s">
        <v>32</v>
      </c>
      <c r="G237" s="390" t="s">
        <v>21</v>
      </c>
      <c r="H237" s="393" t="s">
        <v>24</v>
      </c>
      <c r="I237" s="393" t="s">
        <v>25</v>
      </c>
      <c r="J237" s="393" t="s">
        <v>34</v>
      </c>
      <c r="K237" s="394" t="s">
        <v>33</v>
      </c>
    </row>
    <row r="238" spans="3:11" ht="15.5">
      <c r="C238" s="387" t="s">
        <v>1390</v>
      </c>
      <c r="D238" s="389" t="s">
        <v>32</v>
      </c>
      <c r="E238" s="390" t="s">
        <v>272</v>
      </c>
      <c r="F238" s="390" t="s">
        <v>841</v>
      </c>
      <c r="G238" s="390" t="s">
        <v>21</v>
      </c>
      <c r="H238" s="393" t="s">
        <v>24</v>
      </c>
      <c r="I238" s="393" t="s">
        <v>25</v>
      </c>
      <c r="J238" s="393" t="s">
        <v>34</v>
      </c>
      <c r="K238" s="394" t="s">
        <v>33</v>
      </c>
    </row>
    <row r="239" spans="3:11" ht="15.5">
      <c r="C239" s="387" t="s">
        <v>1389</v>
      </c>
      <c r="D239" s="389" t="s">
        <v>31</v>
      </c>
      <c r="E239" s="390" t="s">
        <v>272</v>
      </c>
      <c r="F239" s="390" t="s">
        <v>841</v>
      </c>
      <c r="G239" s="390" t="s">
        <v>21</v>
      </c>
      <c r="H239" s="393" t="s">
        <v>24</v>
      </c>
      <c r="I239" s="393" t="s">
        <v>25</v>
      </c>
      <c r="J239" s="393" t="s">
        <v>34</v>
      </c>
      <c r="K239" s="394" t="s">
        <v>33</v>
      </c>
    </row>
    <row r="240" spans="3:11" ht="15.5">
      <c r="C240" s="387" t="s">
        <v>1388</v>
      </c>
      <c r="D240" s="389" t="s">
        <v>31</v>
      </c>
      <c r="E240" s="390" t="s">
        <v>272</v>
      </c>
      <c r="F240" s="390" t="s">
        <v>32</v>
      </c>
      <c r="G240" s="390" t="s">
        <v>21</v>
      </c>
      <c r="H240" s="393" t="s">
        <v>24</v>
      </c>
      <c r="I240" s="393" t="s">
        <v>25</v>
      </c>
      <c r="J240" s="393" t="s">
        <v>34</v>
      </c>
      <c r="K240" s="394" t="s">
        <v>33</v>
      </c>
    </row>
    <row r="241" spans="3:11" ht="15.5">
      <c r="C241" s="387" t="s">
        <v>1387</v>
      </c>
      <c r="D241" s="389" t="s">
        <v>31</v>
      </c>
      <c r="E241" s="390" t="s">
        <v>272</v>
      </c>
      <c r="F241" s="390" t="s">
        <v>841</v>
      </c>
      <c r="G241" s="390" t="s">
        <v>21</v>
      </c>
      <c r="H241" s="393" t="s">
        <v>24</v>
      </c>
      <c r="I241" s="393" t="s">
        <v>25</v>
      </c>
      <c r="J241" s="393" t="s">
        <v>34</v>
      </c>
      <c r="K241" s="394" t="s">
        <v>32</v>
      </c>
    </row>
    <row r="242" spans="3:11" ht="15.5">
      <c r="C242" s="387" t="s">
        <v>1386</v>
      </c>
      <c r="D242" s="389" t="s">
        <v>31</v>
      </c>
      <c r="E242" s="390" t="s">
        <v>272</v>
      </c>
      <c r="F242" s="390" t="s">
        <v>841</v>
      </c>
      <c r="G242" s="390" t="s">
        <v>21</v>
      </c>
      <c r="H242" s="393" t="s">
        <v>24</v>
      </c>
      <c r="I242" s="393" t="s">
        <v>25</v>
      </c>
      <c r="J242" s="393" t="s">
        <v>32</v>
      </c>
      <c r="K242" s="394" t="s">
        <v>33</v>
      </c>
    </row>
    <row r="243" spans="3:11" ht="15.5">
      <c r="C243" s="387" t="s">
        <v>1385</v>
      </c>
      <c r="D243" s="389" t="s">
        <v>21</v>
      </c>
      <c r="E243" s="390" t="s">
        <v>841</v>
      </c>
      <c r="F243" s="390" t="s">
        <v>32</v>
      </c>
      <c r="G243" s="390" t="s">
        <v>25</v>
      </c>
      <c r="H243" s="393" t="s">
        <v>24</v>
      </c>
      <c r="I243" s="393" t="s">
        <v>23</v>
      </c>
      <c r="J243" s="393" t="s">
        <v>34</v>
      </c>
      <c r="K243" s="394" t="s">
        <v>33</v>
      </c>
    </row>
    <row r="244" spans="3:11" ht="15.5">
      <c r="C244" s="387" t="s">
        <v>1384</v>
      </c>
      <c r="D244" s="389" t="s">
        <v>31</v>
      </c>
      <c r="E244" s="390" t="s">
        <v>841</v>
      </c>
      <c r="F244" s="390" t="s">
        <v>23</v>
      </c>
      <c r="G244" s="390" t="s">
        <v>21</v>
      </c>
      <c r="H244" s="393" t="s">
        <v>24</v>
      </c>
      <c r="I244" s="393" t="s">
        <v>25</v>
      </c>
      <c r="J244" s="393" t="s">
        <v>34</v>
      </c>
      <c r="K244" s="394" t="s">
        <v>33</v>
      </c>
    </row>
    <row r="245" spans="3:11" ht="15.5">
      <c r="C245" s="387" t="s">
        <v>1383</v>
      </c>
      <c r="D245" s="389" t="s">
        <v>31</v>
      </c>
      <c r="E245" s="390" t="s">
        <v>23</v>
      </c>
      <c r="F245" s="390" t="s">
        <v>32</v>
      </c>
      <c r="G245" s="390" t="s">
        <v>21</v>
      </c>
      <c r="H245" s="393" t="s">
        <v>24</v>
      </c>
      <c r="I245" s="393" t="s">
        <v>25</v>
      </c>
      <c r="J245" s="393" t="s">
        <v>34</v>
      </c>
      <c r="K245" s="394" t="s">
        <v>33</v>
      </c>
    </row>
    <row r="246" spans="3:11" ht="15.5">
      <c r="C246" s="387" t="s">
        <v>1382</v>
      </c>
      <c r="D246" s="389" t="s">
        <v>31</v>
      </c>
      <c r="E246" s="390" t="s">
        <v>841</v>
      </c>
      <c r="F246" s="390" t="s">
        <v>23</v>
      </c>
      <c r="G246" s="390" t="s">
        <v>21</v>
      </c>
      <c r="H246" s="393" t="s">
        <v>24</v>
      </c>
      <c r="I246" s="393" t="s">
        <v>25</v>
      </c>
      <c r="J246" s="393" t="s">
        <v>34</v>
      </c>
      <c r="K246" s="394" t="s">
        <v>32</v>
      </c>
    </row>
    <row r="247" spans="3:11" ht="15.5">
      <c r="C247" s="387" t="s">
        <v>1381</v>
      </c>
      <c r="D247" s="389" t="s">
        <v>31</v>
      </c>
      <c r="E247" s="390" t="s">
        <v>841</v>
      </c>
      <c r="F247" s="390" t="s">
        <v>23</v>
      </c>
      <c r="G247" s="390" t="s">
        <v>21</v>
      </c>
      <c r="H247" s="393" t="s">
        <v>24</v>
      </c>
      <c r="I247" s="393" t="s">
        <v>25</v>
      </c>
      <c r="J247" s="393" t="s">
        <v>32</v>
      </c>
      <c r="K247" s="394" t="s">
        <v>33</v>
      </c>
    </row>
    <row r="248" spans="3:11" ht="15.5">
      <c r="C248" s="387" t="s">
        <v>1380</v>
      </c>
      <c r="D248" s="389" t="s">
        <v>21</v>
      </c>
      <c r="E248" s="390" t="s">
        <v>272</v>
      </c>
      <c r="F248" s="390" t="s">
        <v>841</v>
      </c>
      <c r="G248" s="390" t="s">
        <v>25</v>
      </c>
      <c r="H248" s="393" t="s">
        <v>24</v>
      </c>
      <c r="I248" s="393" t="s">
        <v>23</v>
      </c>
      <c r="J248" s="393" t="s">
        <v>34</v>
      </c>
      <c r="K248" s="394" t="s">
        <v>33</v>
      </c>
    </row>
    <row r="249" spans="3:11" ht="15.5">
      <c r="C249" s="387" t="s">
        <v>1379</v>
      </c>
      <c r="D249" s="389" t="s">
        <v>21</v>
      </c>
      <c r="E249" s="390" t="s">
        <v>272</v>
      </c>
      <c r="F249" s="390" t="s">
        <v>32</v>
      </c>
      <c r="G249" s="390" t="s">
        <v>25</v>
      </c>
      <c r="H249" s="393" t="s">
        <v>24</v>
      </c>
      <c r="I249" s="393" t="s">
        <v>23</v>
      </c>
      <c r="J249" s="393" t="s">
        <v>34</v>
      </c>
      <c r="K249" s="394" t="s">
        <v>33</v>
      </c>
    </row>
    <row r="250" spans="3:11" ht="15.5">
      <c r="C250" s="387" t="s">
        <v>1378</v>
      </c>
      <c r="D250" s="389" t="s">
        <v>21</v>
      </c>
      <c r="E250" s="390" t="s">
        <v>272</v>
      </c>
      <c r="F250" s="390" t="s">
        <v>841</v>
      </c>
      <c r="G250" s="390" t="s">
        <v>25</v>
      </c>
      <c r="H250" s="393" t="s">
        <v>24</v>
      </c>
      <c r="I250" s="393" t="s">
        <v>23</v>
      </c>
      <c r="J250" s="393" t="s">
        <v>34</v>
      </c>
      <c r="K250" s="394" t="s">
        <v>32</v>
      </c>
    </row>
    <row r="251" spans="3:11" ht="15.5">
      <c r="C251" s="387" t="s">
        <v>1377</v>
      </c>
      <c r="D251" s="389" t="s">
        <v>21</v>
      </c>
      <c r="E251" s="390" t="s">
        <v>272</v>
      </c>
      <c r="F251" s="390" t="s">
        <v>841</v>
      </c>
      <c r="G251" s="390" t="s">
        <v>25</v>
      </c>
      <c r="H251" s="393" t="s">
        <v>24</v>
      </c>
      <c r="I251" s="393" t="s">
        <v>23</v>
      </c>
      <c r="J251" s="393" t="s">
        <v>32</v>
      </c>
      <c r="K251" s="394" t="s">
        <v>33</v>
      </c>
    </row>
    <row r="252" spans="3:11" ht="15.5">
      <c r="C252" s="387" t="s">
        <v>1376</v>
      </c>
      <c r="D252" s="389" t="s">
        <v>31</v>
      </c>
      <c r="E252" s="390" t="s">
        <v>272</v>
      </c>
      <c r="F252" s="390" t="s">
        <v>23</v>
      </c>
      <c r="G252" s="390" t="s">
        <v>21</v>
      </c>
      <c r="H252" s="393" t="s">
        <v>24</v>
      </c>
      <c r="I252" s="393" t="s">
        <v>25</v>
      </c>
      <c r="J252" s="393" t="s">
        <v>34</v>
      </c>
      <c r="K252" s="394" t="s">
        <v>33</v>
      </c>
    </row>
    <row r="253" spans="3:11" ht="15.5">
      <c r="C253" s="387" t="s">
        <v>1375</v>
      </c>
      <c r="D253" s="389" t="s">
        <v>21</v>
      </c>
      <c r="E253" s="390" t="s">
        <v>272</v>
      </c>
      <c r="F253" s="390" t="s">
        <v>841</v>
      </c>
      <c r="G253" s="390" t="s">
        <v>25</v>
      </c>
      <c r="H253" s="393" t="s">
        <v>24</v>
      </c>
      <c r="I253" s="393" t="s">
        <v>23</v>
      </c>
      <c r="J253" s="393" t="s">
        <v>34</v>
      </c>
      <c r="K253" s="394" t="s">
        <v>31</v>
      </c>
    </row>
    <row r="254" spans="3:11" ht="15.5">
      <c r="C254" s="387" t="s">
        <v>1374</v>
      </c>
      <c r="D254" s="389" t="s">
        <v>31</v>
      </c>
      <c r="E254" s="390" t="s">
        <v>272</v>
      </c>
      <c r="F254" s="390" t="s">
        <v>841</v>
      </c>
      <c r="G254" s="390" t="s">
        <v>21</v>
      </c>
      <c r="H254" s="393" t="s">
        <v>24</v>
      </c>
      <c r="I254" s="393" t="s">
        <v>23</v>
      </c>
      <c r="J254" s="393" t="s">
        <v>25</v>
      </c>
      <c r="K254" s="394" t="s">
        <v>33</v>
      </c>
    </row>
    <row r="255" spans="3:11" ht="15.5">
      <c r="C255" s="387" t="s">
        <v>1373</v>
      </c>
      <c r="D255" s="389" t="s">
        <v>31</v>
      </c>
      <c r="E255" s="390" t="s">
        <v>272</v>
      </c>
      <c r="F255" s="390" t="s">
        <v>23</v>
      </c>
      <c r="G255" s="390" t="s">
        <v>21</v>
      </c>
      <c r="H255" s="393" t="s">
        <v>24</v>
      </c>
      <c r="I255" s="393" t="s">
        <v>25</v>
      </c>
      <c r="J255" s="393" t="s">
        <v>34</v>
      </c>
      <c r="K255" s="394" t="s">
        <v>32</v>
      </c>
    </row>
    <row r="256" spans="3:11" ht="15.5">
      <c r="C256" s="387" t="s">
        <v>1372</v>
      </c>
      <c r="D256" s="389" t="s">
        <v>31</v>
      </c>
      <c r="E256" s="390" t="s">
        <v>272</v>
      </c>
      <c r="F256" s="390" t="s">
        <v>23</v>
      </c>
      <c r="G256" s="390" t="s">
        <v>21</v>
      </c>
      <c r="H256" s="393" t="s">
        <v>24</v>
      </c>
      <c r="I256" s="393" t="s">
        <v>25</v>
      </c>
      <c r="J256" s="393" t="s">
        <v>32</v>
      </c>
      <c r="K256" s="394" t="s">
        <v>33</v>
      </c>
    </row>
    <row r="257" spans="3:11" ht="15.5">
      <c r="C257" s="387" t="s">
        <v>1371</v>
      </c>
      <c r="D257" s="389" t="s">
        <v>31</v>
      </c>
      <c r="E257" s="390" t="s">
        <v>272</v>
      </c>
      <c r="F257" s="390" t="s">
        <v>841</v>
      </c>
      <c r="G257" s="390" t="s">
        <v>21</v>
      </c>
      <c r="H257" s="393" t="s">
        <v>24</v>
      </c>
      <c r="I257" s="393" t="s">
        <v>23</v>
      </c>
      <c r="J257" s="393" t="s">
        <v>25</v>
      </c>
      <c r="K257" s="394" t="s">
        <v>32</v>
      </c>
    </row>
    <row r="258" spans="3:11" ht="15.5">
      <c r="C258" s="387" t="s">
        <v>1370</v>
      </c>
      <c r="D258" s="389" t="s">
        <v>22</v>
      </c>
      <c r="E258" s="390" t="s">
        <v>841</v>
      </c>
      <c r="F258" s="390" t="s">
        <v>32</v>
      </c>
      <c r="G258" s="390" t="s">
        <v>21</v>
      </c>
      <c r="H258" s="393" t="s">
        <v>24</v>
      </c>
      <c r="I258" s="393" t="s">
        <v>25</v>
      </c>
      <c r="J258" s="393" t="s">
        <v>34</v>
      </c>
      <c r="K258" s="394" t="s">
        <v>33</v>
      </c>
    </row>
    <row r="259" spans="3:11" ht="15.5">
      <c r="C259" s="387" t="s">
        <v>1369</v>
      </c>
      <c r="D259" s="389" t="s">
        <v>31</v>
      </c>
      <c r="E259" s="390" t="s">
        <v>841</v>
      </c>
      <c r="F259" s="390" t="s">
        <v>22</v>
      </c>
      <c r="G259" s="390" t="s">
        <v>21</v>
      </c>
      <c r="H259" s="393" t="s">
        <v>24</v>
      </c>
      <c r="I259" s="393" t="s">
        <v>25</v>
      </c>
      <c r="J259" s="393" t="s">
        <v>34</v>
      </c>
      <c r="K259" s="394" t="s">
        <v>33</v>
      </c>
    </row>
    <row r="260" spans="3:11" ht="15.5">
      <c r="C260" s="387" t="s">
        <v>1368</v>
      </c>
      <c r="D260" s="389" t="s">
        <v>31</v>
      </c>
      <c r="E260" s="390" t="s">
        <v>22</v>
      </c>
      <c r="F260" s="390" t="s">
        <v>32</v>
      </c>
      <c r="G260" s="390" t="s">
        <v>21</v>
      </c>
      <c r="H260" s="393" t="s">
        <v>24</v>
      </c>
      <c r="I260" s="393" t="s">
        <v>25</v>
      </c>
      <c r="J260" s="393" t="s">
        <v>34</v>
      </c>
      <c r="K260" s="394" t="s">
        <v>33</v>
      </c>
    </row>
    <row r="261" spans="3:11" ht="15.5">
      <c r="C261" s="387" t="s">
        <v>1367</v>
      </c>
      <c r="D261" s="389" t="s">
        <v>31</v>
      </c>
      <c r="E261" s="390" t="s">
        <v>841</v>
      </c>
      <c r="F261" s="390" t="s">
        <v>22</v>
      </c>
      <c r="G261" s="390" t="s">
        <v>21</v>
      </c>
      <c r="H261" s="393" t="s">
        <v>24</v>
      </c>
      <c r="I261" s="393" t="s">
        <v>25</v>
      </c>
      <c r="J261" s="393" t="s">
        <v>34</v>
      </c>
      <c r="K261" s="394" t="s">
        <v>32</v>
      </c>
    </row>
    <row r="262" spans="3:11" ht="15.5">
      <c r="C262" s="387" t="s">
        <v>1366</v>
      </c>
      <c r="D262" s="389" t="s">
        <v>31</v>
      </c>
      <c r="E262" s="390" t="s">
        <v>841</v>
      </c>
      <c r="F262" s="390" t="s">
        <v>22</v>
      </c>
      <c r="G262" s="390" t="s">
        <v>21</v>
      </c>
      <c r="H262" s="393" t="s">
        <v>24</v>
      </c>
      <c r="I262" s="393" t="s">
        <v>25</v>
      </c>
      <c r="J262" s="393" t="s">
        <v>32</v>
      </c>
      <c r="K262" s="394" t="s">
        <v>33</v>
      </c>
    </row>
    <row r="263" spans="3:11" ht="15.5">
      <c r="C263" s="387" t="s">
        <v>1365</v>
      </c>
      <c r="D263" s="389" t="s">
        <v>22</v>
      </c>
      <c r="E263" s="390" t="s">
        <v>272</v>
      </c>
      <c r="F263" s="390" t="s">
        <v>841</v>
      </c>
      <c r="G263" s="390" t="s">
        <v>21</v>
      </c>
      <c r="H263" s="393" t="s">
        <v>24</v>
      </c>
      <c r="I263" s="393" t="s">
        <v>25</v>
      </c>
      <c r="J263" s="393" t="s">
        <v>34</v>
      </c>
      <c r="K263" s="394" t="s">
        <v>33</v>
      </c>
    </row>
    <row r="264" spans="3:11" ht="15.5">
      <c r="C264" s="387" t="s">
        <v>1364</v>
      </c>
      <c r="D264" s="389" t="s">
        <v>22</v>
      </c>
      <c r="E264" s="390" t="s">
        <v>272</v>
      </c>
      <c r="F264" s="390" t="s">
        <v>32</v>
      </c>
      <c r="G264" s="390" t="s">
        <v>21</v>
      </c>
      <c r="H264" s="393" t="s">
        <v>24</v>
      </c>
      <c r="I264" s="393" t="s">
        <v>25</v>
      </c>
      <c r="J264" s="393" t="s">
        <v>34</v>
      </c>
      <c r="K264" s="394" t="s">
        <v>33</v>
      </c>
    </row>
    <row r="265" spans="3:11" ht="15.5">
      <c r="C265" s="387" t="s">
        <v>1363</v>
      </c>
      <c r="D265" s="389" t="s">
        <v>22</v>
      </c>
      <c r="E265" s="390" t="s">
        <v>272</v>
      </c>
      <c r="F265" s="390" t="s">
        <v>841</v>
      </c>
      <c r="G265" s="390" t="s">
        <v>21</v>
      </c>
      <c r="H265" s="393" t="s">
        <v>24</v>
      </c>
      <c r="I265" s="393" t="s">
        <v>25</v>
      </c>
      <c r="J265" s="393" t="s">
        <v>34</v>
      </c>
      <c r="K265" s="394" t="s">
        <v>32</v>
      </c>
    </row>
    <row r="266" spans="3:11" ht="15.5">
      <c r="C266" s="387" t="s">
        <v>1362</v>
      </c>
      <c r="D266" s="389" t="s">
        <v>22</v>
      </c>
      <c r="E266" s="390" t="s">
        <v>272</v>
      </c>
      <c r="F266" s="390" t="s">
        <v>841</v>
      </c>
      <c r="G266" s="390" t="s">
        <v>21</v>
      </c>
      <c r="H266" s="393" t="s">
        <v>24</v>
      </c>
      <c r="I266" s="393" t="s">
        <v>25</v>
      </c>
      <c r="J266" s="393" t="s">
        <v>32</v>
      </c>
      <c r="K266" s="394" t="s">
        <v>33</v>
      </c>
    </row>
    <row r="267" spans="3:11" ht="15.5">
      <c r="C267" s="387" t="s">
        <v>1361</v>
      </c>
      <c r="D267" s="389" t="s">
        <v>31</v>
      </c>
      <c r="E267" s="390" t="s">
        <v>272</v>
      </c>
      <c r="F267" s="390" t="s">
        <v>22</v>
      </c>
      <c r="G267" s="390" t="s">
        <v>21</v>
      </c>
      <c r="H267" s="393" t="s">
        <v>24</v>
      </c>
      <c r="I267" s="393" t="s">
        <v>25</v>
      </c>
      <c r="J267" s="393" t="s">
        <v>34</v>
      </c>
      <c r="K267" s="394" t="s">
        <v>33</v>
      </c>
    </row>
    <row r="268" spans="3:11" ht="15.5">
      <c r="C268" s="387" t="s">
        <v>1360</v>
      </c>
      <c r="D268" s="389" t="s">
        <v>31</v>
      </c>
      <c r="E268" s="390" t="s">
        <v>272</v>
      </c>
      <c r="F268" s="390" t="s">
        <v>841</v>
      </c>
      <c r="G268" s="390" t="s">
        <v>21</v>
      </c>
      <c r="H268" s="393" t="s">
        <v>24</v>
      </c>
      <c r="I268" s="393" t="s">
        <v>25</v>
      </c>
      <c r="J268" s="393" t="s">
        <v>34</v>
      </c>
      <c r="K268" s="394" t="s">
        <v>22</v>
      </c>
    </row>
    <row r="269" spans="3:11" ht="15.5">
      <c r="C269" s="387" t="s">
        <v>1359</v>
      </c>
      <c r="D269" s="389" t="s">
        <v>31</v>
      </c>
      <c r="E269" s="390" t="s">
        <v>272</v>
      </c>
      <c r="F269" s="390" t="s">
        <v>841</v>
      </c>
      <c r="G269" s="390" t="s">
        <v>21</v>
      </c>
      <c r="H269" s="393" t="s">
        <v>24</v>
      </c>
      <c r="I269" s="393" t="s">
        <v>25</v>
      </c>
      <c r="J269" s="393" t="s">
        <v>22</v>
      </c>
      <c r="K269" s="394" t="s">
        <v>33</v>
      </c>
    </row>
    <row r="270" spans="3:11" ht="15.5">
      <c r="C270" s="387" t="s">
        <v>1358</v>
      </c>
      <c r="D270" s="389" t="s">
        <v>31</v>
      </c>
      <c r="E270" s="390" t="s">
        <v>272</v>
      </c>
      <c r="F270" s="390" t="s">
        <v>22</v>
      </c>
      <c r="G270" s="390" t="s">
        <v>21</v>
      </c>
      <c r="H270" s="393" t="s">
        <v>24</v>
      </c>
      <c r="I270" s="393" t="s">
        <v>25</v>
      </c>
      <c r="J270" s="393" t="s">
        <v>34</v>
      </c>
      <c r="K270" s="394" t="s">
        <v>32</v>
      </c>
    </row>
    <row r="271" spans="3:11" ht="15.5">
      <c r="C271" s="387" t="s">
        <v>1357</v>
      </c>
      <c r="D271" s="389" t="s">
        <v>31</v>
      </c>
      <c r="E271" s="390" t="s">
        <v>272</v>
      </c>
      <c r="F271" s="390" t="s">
        <v>22</v>
      </c>
      <c r="G271" s="390" t="s">
        <v>21</v>
      </c>
      <c r="H271" s="393" t="s">
        <v>24</v>
      </c>
      <c r="I271" s="393" t="s">
        <v>25</v>
      </c>
      <c r="J271" s="393" t="s">
        <v>32</v>
      </c>
      <c r="K271" s="394" t="s">
        <v>33</v>
      </c>
    </row>
    <row r="272" spans="3:11" ht="15.5">
      <c r="C272" s="387" t="s">
        <v>1356</v>
      </c>
      <c r="D272" s="389" t="s">
        <v>31</v>
      </c>
      <c r="E272" s="390" t="s">
        <v>272</v>
      </c>
      <c r="F272" s="390" t="s">
        <v>841</v>
      </c>
      <c r="G272" s="390" t="s">
        <v>21</v>
      </c>
      <c r="H272" s="393" t="s">
        <v>24</v>
      </c>
      <c r="I272" s="393" t="s">
        <v>25</v>
      </c>
      <c r="J272" s="393" t="s">
        <v>22</v>
      </c>
      <c r="K272" s="394" t="s">
        <v>32</v>
      </c>
    </row>
    <row r="273" spans="3:11" ht="15.5">
      <c r="C273" s="387" t="s">
        <v>1355</v>
      </c>
      <c r="D273" s="389" t="s">
        <v>21</v>
      </c>
      <c r="E273" s="390" t="s">
        <v>841</v>
      </c>
      <c r="F273" s="390" t="s">
        <v>22</v>
      </c>
      <c r="G273" s="390" t="s">
        <v>25</v>
      </c>
      <c r="H273" s="393" t="s">
        <v>24</v>
      </c>
      <c r="I273" s="393" t="s">
        <v>23</v>
      </c>
      <c r="J273" s="393" t="s">
        <v>34</v>
      </c>
      <c r="K273" s="394" t="s">
        <v>33</v>
      </c>
    </row>
    <row r="274" spans="3:11" ht="15.5">
      <c r="C274" s="387" t="s">
        <v>1354</v>
      </c>
      <c r="D274" s="389" t="s">
        <v>21</v>
      </c>
      <c r="E274" s="390" t="s">
        <v>22</v>
      </c>
      <c r="F274" s="390" t="s">
        <v>32</v>
      </c>
      <c r="G274" s="390" t="s">
        <v>25</v>
      </c>
      <c r="H274" s="393" t="s">
        <v>24</v>
      </c>
      <c r="I274" s="393" t="s">
        <v>23</v>
      </c>
      <c r="J274" s="393" t="s">
        <v>34</v>
      </c>
      <c r="K274" s="394" t="s">
        <v>33</v>
      </c>
    </row>
    <row r="275" spans="3:11" ht="15.5">
      <c r="C275" s="387" t="s">
        <v>1353</v>
      </c>
      <c r="D275" s="389" t="s">
        <v>21</v>
      </c>
      <c r="E275" s="390" t="s">
        <v>841</v>
      </c>
      <c r="F275" s="390" t="s">
        <v>22</v>
      </c>
      <c r="G275" s="390" t="s">
        <v>25</v>
      </c>
      <c r="H275" s="393" t="s">
        <v>24</v>
      </c>
      <c r="I275" s="393" t="s">
        <v>23</v>
      </c>
      <c r="J275" s="393" t="s">
        <v>34</v>
      </c>
      <c r="K275" s="394" t="s">
        <v>32</v>
      </c>
    </row>
    <row r="276" spans="3:11" ht="15.5">
      <c r="C276" s="387" t="s">
        <v>1352</v>
      </c>
      <c r="D276" s="389" t="s">
        <v>21</v>
      </c>
      <c r="E276" s="390" t="s">
        <v>841</v>
      </c>
      <c r="F276" s="390" t="s">
        <v>22</v>
      </c>
      <c r="G276" s="390" t="s">
        <v>25</v>
      </c>
      <c r="H276" s="393" t="s">
        <v>24</v>
      </c>
      <c r="I276" s="393" t="s">
        <v>23</v>
      </c>
      <c r="J276" s="393" t="s">
        <v>32</v>
      </c>
      <c r="K276" s="394" t="s">
        <v>33</v>
      </c>
    </row>
    <row r="277" spans="3:11" ht="15.5">
      <c r="C277" s="387" t="s">
        <v>1351</v>
      </c>
      <c r="D277" s="389" t="s">
        <v>31</v>
      </c>
      <c r="E277" s="390" t="s">
        <v>22</v>
      </c>
      <c r="F277" s="390" t="s">
        <v>23</v>
      </c>
      <c r="G277" s="390" t="s">
        <v>21</v>
      </c>
      <c r="H277" s="393" t="s">
        <v>24</v>
      </c>
      <c r="I277" s="393" t="s">
        <v>25</v>
      </c>
      <c r="J277" s="393" t="s">
        <v>34</v>
      </c>
      <c r="K277" s="394" t="s">
        <v>33</v>
      </c>
    </row>
    <row r="278" spans="3:11" ht="15.5">
      <c r="C278" s="387" t="s">
        <v>1350</v>
      </c>
      <c r="D278" s="389" t="s">
        <v>31</v>
      </c>
      <c r="E278" s="390" t="s">
        <v>841</v>
      </c>
      <c r="F278" s="390" t="s">
        <v>23</v>
      </c>
      <c r="G278" s="390" t="s">
        <v>21</v>
      </c>
      <c r="H278" s="393" t="s">
        <v>24</v>
      </c>
      <c r="I278" s="393" t="s">
        <v>25</v>
      </c>
      <c r="J278" s="393" t="s">
        <v>34</v>
      </c>
      <c r="K278" s="394" t="s">
        <v>22</v>
      </c>
    </row>
    <row r="279" spans="3:11" ht="15.5">
      <c r="C279" s="387" t="s">
        <v>1349</v>
      </c>
      <c r="D279" s="389" t="s">
        <v>31</v>
      </c>
      <c r="E279" s="390" t="s">
        <v>841</v>
      </c>
      <c r="F279" s="390" t="s">
        <v>22</v>
      </c>
      <c r="G279" s="390" t="s">
        <v>21</v>
      </c>
      <c r="H279" s="393" t="s">
        <v>24</v>
      </c>
      <c r="I279" s="393" t="s">
        <v>23</v>
      </c>
      <c r="J279" s="393" t="s">
        <v>25</v>
      </c>
      <c r="K279" s="394" t="s">
        <v>33</v>
      </c>
    </row>
    <row r="280" spans="3:11" ht="15.5">
      <c r="C280" s="387" t="s">
        <v>1348</v>
      </c>
      <c r="D280" s="389" t="s">
        <v>31</v>
      </c>
      <c r="E280" s="390" t="s">
        <v>22</v>
      </c>
      <c r="F280" s="390" t="s">
        <v>23</v>
      </c>
      <c r="G280" s="390" t="s">
        <v>21</v>
      </c>
      <c r="H280" s="393" t="s">
        <v>24</v>
      </c>
      <c r="I280" s="393" t="s">
        <v>25</v>
      </c>
      <c r="J280" s="393" t="s">
        <v>34</v>
      </c>
      <c r="K280" s="394" t="s">
        <v>32</v>
      </c>
    </row>
    <row r="281" spans="3:11" ht="15.5">
      <c r="C281" s="387" t="s">
        <v>1347</v>
      </c>
      <c r="D281" s="389" t="s">
        <v>31</v>
      </c>
      <c r="E281" s="390" t="s">
        <v>22</v>
      </c>
      <c r="F281" s="390" t="s">
        <v>23</v>
      </c>
      <c r="G281" s="390" t="s">
        <v>21</v>
      </c>
      <c r="H281" s="393" t="s">
        <v>24</v>
      </c>
      <c r="I281" s="393" t="s">
        <v>25</v>
      </c>
      <c r="J281" s="393" t="s">
        <v>32</v>
      </c>
      <c r="K281" s="394" t="s">
        <v>33</v>
      </c>
    </row>
    <row r="282" spans="3:11" ht="15.5">
      <c r="C282" s="387" t="s">
        <v>1346</v>
      </c>
      <c r="D282" s="389" t="s">
        <v>31</v>
      </c>
      <c r="E282" s="390" t="s">
        <v>841</v>
      </c>
      <c r="F282" s="390" t="s">
        <v>22</v>
      </c>
      <c r="G282" s="390" t="s">
        <v>21</v>
      </c>
      <c r="H282" s="393" t="s">
        <v>24</v>
      </c>
      <c r="I282" s="393" t="s">
        <v>23</v>
      </c>
      <c r="J282" s="393" t="s">
        <v>25</v>
      </c>
      <c r="K282" s="394" t="s">
        <v>32</v>
      </c>
    </row>
    <row r="283" spans="3:11" ht="15.5">
      <c r="C283" s="387" t="s">
        <v>1345</v>
      </c>
      <c r="D283" s="389" t="s">
        <v>21</v>
      </c>
      <c r="E283" s="390" t="s">
        <v>272</v>
      </c>
      <c r="F283" s="390" t="s">
        <v>22</v>
      </c>
      <c r="G283" s="390" t="s">
        <v>25</v>
      </c>
      <c r="H283" s="393" t="s">
        <v>24</v>
      </c>
      <c r="I283" s="393" t="s">
        <v>23</v>
      </c>
      <c r="J283" s="393" t="s">
        <v>34</v>
      </c>
      <c r="K283" s="394" t="s">
        <v>33</v>
      </c>
    </row>
    <row r="284" spans="3:11" ht="15.5">
      <c r="C284" s="387" t="s">
        <v>1344</v>
      </c>
      <c r="D284" s="389" t="s">
        <v>21</v>
      </c>
      <c r="E284" s="390" t="s">
        <v>272</v>
      </c>
      <c r="F284" s="390" t="s">
        <v>841</v>
      </c>
      <c r="G284" s="390" t="s">
        <v>25</v>
      </c>
      <c r="H284" s="393" t="s">
        <v>24</v>
      </c>
      <c r="I284" s="393" t="s">
        <v>23</v>
      </c>
      <c r="J284" s="393" t="s">
        <v>34</v>
      </c>
      <c r="K284" s="394" t="s">
        <v>22</v>
      </c>
    </row>
    <row r="285" spans="3:11" ht="15.5">
      <c r="C285" s="387" t="s">
        <v>1343</v>
      </c>
      <c r="D285" s="389" t="s">
        <v>21</v>
      </c>
      <c r="E285" s="390" t="s">
        <v>272</v>
      </c>
      <c r="F285" s="390" t="s">
        <v>841</v>
      </c>
      <c r="G285" s="390" t="s">
        <v>25</v>
      </c>
      <c r="H285" s="393" t="s">
        <v>24</v>
      </c>
      <c r="I285" s="393" t="s">
        <v>23</v>
      </c>
      <c r="J285" s="393" t="s">
        <v>22</v>
      </c>
      <c r="K285" s="394" t="s">
        <v>33</v>
      </c>
    </row>
    <row r="286" spans="3:11" ht="15.5">
      <c r="C286" s="387" t="s">
        <v>1342</v>
      </c>
      <c r="D286" s="389" t="s">
        <v>21</v>
      </c>
      <c r="E286" s="390" t="s">
        <v>272</v>
      </c>
      <c r="F286" s="390" t="s">
        <v>22</v>
      </c>
      <c r="G286" s="390" t="s">
        <v>25</v>
      </c>
      <c r="H286" s="393" t="s">
        <v>24</v>
      </c>
      <c r="I286" s="393" t="s">
        <v>23</v>
      </c>
      <c r="J286" s="393" t="s">
        <v>34</v>
      </c>
      <c r="K286" s="394" t="s">
        <v>32</v>
      </c>
    </row>
    <row r="287" spans="3:11" ht="15.5">
      <c r="C287" s="387" t="s">
        <v>1341</v>
      </c>
      <c r="D287" s="389" t="s">
        <v>21</v>
      </c>
      <c r="E287" s="390" t="s">
        <v>272</v>
      </c>
      <c r="F287" s="390" t="s">
        <v>22</v>
      </c>
      <c r="G287" s="390" t="s">
        <v>25</v>
      </c>
      <c r="H287" s="393" t="s">
        <v>24</v>
      </c>
      <c r="I287" s="393" t="s">
        <v>23</v>
      </c>
      <c r="J287" s="393" t="s">
        <v>32</v>
      </c>
      <c r="K287" s="394" t="s">
        <v>33</v>
      </c>
    </row>
    <row r="288" spans="3:11" ht="15.5">
      <c r="C288" s="387" t="s">
        <v>1340</v>
      </c>
      <c r="D288" s="389" t="s">
        <v>21</v>
      </c>
      <c r="E288" s="390" t="s">
        <v>272</v>
      </c>
      <c r="F288" s="390" t="s">
        <v>841</v>
      </c>
      <c r="G288" s="390" t="s">
        <v>25</v>
      </c>
      <c r="H288" s="393" t="s">
        <v>24</v>
      </c>
      <c r="I288" s="393" t="s">
        <v>23</v>
      </c>
      <c r="J288" s="393" t="s">
        <v>22</v>
      </c>
      <c r="K288" s="394" t="s">
        <v>32</v>
      </c>
    </row>
    <row r="289" spans="3:11" ht="15.5">
      <c r="C289" s="387" t="s">
        <v>1339</v>
      </c>
      <c r="D289" s="389" t="s">
        <v>31</v>
      </c>
      <c r="E289" s="390" t="s">
        <v>272</v>
      </c>
      <c r="F289" s="390" t="s">
        <v>23</v>
      </c>
      <c r="G289" s="390" t="s">
        <v>21</v>
      </c>
      <c r="H289" s="393" t="s">
        <v>24</v>
      </c>
      <c r="I289" s="393" t="s">
        <v>25</v>
      </c>
      <c r="J289" s="393" t="s">
        <v>34</v>
      </c>
      <c r="K289" s="394" t="s">
        <v>22</v>
      </c>
    </row>
    <row r="290" spans="3:11" ht="15.5">
      <c r="C290" s="387" t="s">
        <v>1338</v>
      </c>
      <c r="D290" s="389" t="s">
        <v>31</v>
      </c>
      <c r="E290" s="390" t="s">
        <v>272</v>
      </c>
      <c r="F290" s="390" t="s">
        <v>22</v>
      </c>
      <c r="G290" s="390" t="s">
        <v>21</v>
      </c>
      <c r="H290" s="393" t="s">
        <v>24</v>
      </c>
      <c r="I290" s="393" t="s">
        <v>23</v>
      </c>
      <c r="J290" s="393" t="s">
        <v>25</v>
      </c>
      <c r="K290" s="394" t="s">
        <v>33</v>
      </c>
    </row>
    <row r="291" spans="3:11" ht="15.5">
      <c r="C291" s="387" t="s">
        <v>1337</v>
      </c>
      <c r="D291" s="389" t="s">
        <v>31</v>
      </c>
      <c r="E291" s="390" t="s">
        <v>272</v>
      </c>
      <c r="F291" s="390" t="s">
        <v>841</v>
      </c>
      <c r="G291" s="390" t="s">
        <v>21</v>
      </c>
      <c r="H291" s="393" t="s">
        <v>24</v>
      </c>
      <c r="I291" s="393" t="s">
        <v>23</v>
      </c>
      <c r="J291" s="393" t="s">
        <v>25</v>
      </c>
      <c r="K291" s="394" t="s">
        <v>22</v>
      </c>
    </row>
    <row r="292" spans="3:11" ht="15.5">
      <c r="C292" s="387" t="s">
        <v>1336</v>
      </c>
      <c r="D292" s="389" t="s">
        <v>31</v>
      </c>
      <c r="E292" s="390" t="s">
        <v>272</v>
      </c>
      <c r="F292" s="390" t="s">
        <v>22</v>
      </c>
      <c r="G292" s="390" t="s">
        <v>21</v>
      </c>
      <c r="H292" s="393" t="s">
        <v>24</v>
      </c>
      <c r="I292" s="393" t="s">
        <v>23</v>
      </c>
      <c r="J292" s="393" t="s">
        <v>25</v>
      </c>
      <c r="K292" s="394" t="s">
        <v>32</v>
      </c>
    </row>
    <row r="293" spans="3:11" ht="15.5">
      <c r="C293" s="387" t="s">
        <v>1335</v>
      </c>
      <c r="D293" s="389" t="s">
        <v>31</v>
      </c>
      <c r="E293" s="390" t="s">
        <v>841</v>
      </c>
      <c r="F293" s="390" t="s">
        <v>20</v>
      </c>
      <c r="G293" s="390" t="s">
        <v>24</v>
      </c>
      <c r="H293" s="393" t="s">
        <v>32</v>
      </c>
      <c r="I293" s="393" t="s">
        <v>272</v>
      </c>
      <c r="J293" s="393" t="s">
        <v>34</v>
      </c>
      <c r="K293" s="394" t="s">
        <v>33</v>
      </c>
    </row>
    <row r="294" spans="3:11" ht="15.5">
      <c r="C294" s="387" t="s">
        <v>1334</v>
      </c>
      <c r="D294" s="389" t="s">
        <v>31</v>
      </c>
      <c r="E294" s="390" t="s">
        <v>841</v>
      </c>
      <c r="F294" s="390" t="s">
        <v>20</v>
      </c>
      <c r="G294" s="390" t="s">
        <v>24</v>
      </c>
      <c r="H294" s="393" t="s">
        <v>32</v>
      </c>
      <c r="I294" s="393" t="s">
        <v>23</v>
      </c>
      <c r="J294" s="393" t="s">
        <v>34</v>
      </c>
      <c r="K294" s="394" t="s">
        <v>33</v>
      </c>
    </row>
    <row r="295" spans="3:11" ht="15.5">
      <c r="C295" s="387" t="s">
        <v>1333</v>
      </c>
      <c r="D295" s="389" t="s">
        <v>32</v>
      </c>
      <c r="E295" s="390" t="s">
        <v>841</v>
      </c>
      <c r="F295" s="390" t="s">
        <v>20</v>
      </c>
      <c r="G295" s="390" t="s">
        <v>23</v>
      </c>
      <c r="H295" s="393" t="s">
        <v>24</v>
      </c>
      <c r="I295" s="393" t="s">
        <v>272</v>
      </c>
      <c r="J295" s="393" t="s">
        <v>34</v>
      </c>
      <c r="K295" s="394" t="s">
        <v>33</v>
      </c>
    </row>
    <row r="296" spans="3:11" ht="15.5">
      <c r="C296" s="387" t="s">
        <v>1332</v>
      </c>
      <c r="D296" s="389" t="s">
        <v>31</v>
      </c>
      <c r="E296" s="390" t="s">
        <v>841</v>
      </c>
      <c r="F296" s="390" t="s">
        <v>20</v>
      </c>
      <c r="G296" s="390" t="s">
        <v>23</v>
      </c>
      <c r="H296" s="393" t="s">
        <v>24</v>
      </c>
      <c r="I296" s="393" t="s">
        <v>272</v>
      </c>
      <c r="J296" s="393" t="s">
        <v>34</v>
      </c>
      <c r="K296" s="394" t="s">
        <v>33</v>
      </c>
    </row>
    <row r="297" spans="3:11" ht="15.5">
      <c r="C297" s="387" t="s">
        <v>1331</v>
      </c>
      <c r="D297" s="389" t="s">
        <v>31</v>
      </c>
      <c r="E297" s="390" t="s">
        <v>272</v>
      </c>
      <c r="F297" s="390" t="s">
        <v>20</v>
      </c>
      <c r="G297" s="390" t="s">
        <v>24</v>
      </c>
      <c r="H297" s="393" t="s">
        <v>32</v>
      </c>
      <c r="I297" s="393" t="s">
        <v>23</v>
      </c>
      <c r="J297" s="393" t="s">
        <v>34</v>
      </c>
      <c r="K297" s="394" t="s">
        <v>33</v>
      </c>
    </row>
    <row r="298" spans="3:11" ht="15.5">
      <c r="C298" s="387" t="s">
        <v>1330</v>
      </c>
      <c r="D298" s="389" t="s">
        <v>31</v>
      </c>
      <c r="E298" s="390" t="s">
        <v>841</v>
      </c>
      <c r="F298" s="390" t="s">
        <v>20</v>
      </c>
      <c r="G298" s="390" t="s">
        <v>23</v>
      </c>
      <c r="H298" s="393" t="s">
        <v>24</v>
      </c>
      <c r="I298" s="393" t="s">
        <v>272</v>
      </c>
      <c r="J298" s="393" t="s">
        <v>34</v>
      </c>
      <c r="K298" s="394" t="s">
        <v>32</v>
      </c>
    </row>
    <row r="299" spans="3:11" ht="15.5">
      <c r="C299" s="387" t="s">
        <v>1329</v>
      </c>
      <c r="D299" s="389" t="s">
        <v>31</v>
      </c>
      <c r="E299" s="390" t="s">
        <v>841</v>
      </c>
      <c r="F299" s="390" t="s">
        <v>20</v>
      </c>
      <c r="G299" s="390" t="s">
        <v>23</v>
      </c>
      <c r="H299" s="393" t="s">
        <v>24</v>
      </c>
      <c r="I299" s="393" t="s">
        <v>272</v>
      </c>
      <c r="J299" s="393" t="s">
        <v>32</v>
      </c>
      <c r="K299" s="394" t="s">
        <v>33</v>
      </c>
    </row>
    <row r="300" spans="3:11" ht="15.5">
      <c r="C300" s="387" t="s">
        <v>1328</v>
      </c>
      <c r="D300" s="389" t="s">
        <v>22</v>
      </c>
      <c r="E300" s="390" t="s">
        <v>841</v>
      </c>
      <c r="F300" s="390" t="s">
        <v>20</v>
      </c>
      <c r="G300" s="390" t="s">
        <v>24</v>
      </c>
      <c r="H300" s="393" t="s">
        <v>32</v>
      </c>
      <c r="I300" s="393" t="s">
        <v>31</v>
      </c>
      <c r="J300" s="393" t="s">
        <v>34</v>
      </c>
      <c r="K300" s="394" t="s">
        <v>33</v>
      </c>
    </row>
    <row r="301" spans="3:11" ht="15.5">
      <c r="C301" s="387" t="s">
        <v>1327</v>
      </c>
      <c r="D301" s="389" t="s">
        <v>22</v>
      </c>
      <c r="E301" s="390" t="s">
        <v>841</v>
      </c>
      <c r="F301" s="390" t="s">
        <v>20</v>
      </c>
      <c r="G301" s="390" t="s">
        <v>24</v>
      </c>
      <c r="H301" s="393" t="s">
        <v>32</v>
      </c>
      <c r="I301" s="393" t="s">
        <v>272</v>
      </c>
      <c r="J301" s="393" t="s">
        <v>34</v>
      </c>
      <c r="K301" s="394" t="s">
        <v>33</v>
      </c>
    </row>
    <row r="302" spans="3:11" ht="15.5">
      <c r="C302" s="387" t="s">
        <v>1326</v>
      </c>
      <c r="D302" s="389" t="s">
        <v>22</v>
      </c>
      <c r="E302" s="390" t="s">
        <v>841</v>
      </c>
      <c r="F302" s="390" t="s">
        <v>20</v>
      </c>
      <c r="G302" s="390" t="s">
        <v>24</v>
      </c>
      <c r="H302" s="393" t="s">
        <v>31</v>
      </c>
      <c r="I302" s="393" t="s">
        <v>272</v>
      </c>
      <c r="J302" s="393" t="s">
        <v>34</v>
      </c>
      <c r="K302" s="394" t="s">
        <v>33</v>
      </c>
    </row>
    <row r="303" spans="3:11" ht="15.5">
      <c r="C303" s="387" t="s">
        <v>1325</v>
      </c>
      <c r="D303" s="389" t="s">
        <v>22</v>
      </c>
      <c r="E303" s="390" t="s">
        <v>272</v>
      </c>
      <c r="F303" s="390" t="s">
        <v>20</v>
      </c>
      <c r="G303" s="390" t="s">
        <v>24</v>
      </c>
      <c r="H303" s="393" t="s">
        <v>32</v>
      </c>
      <c r="I303" s="393" t="s">
        <v>31</v>
      </c>
      <c r="J303" s="393" t="s">
        <v>34</v>
      </c>
      <c r="K303" s="394" t="s">
        <v>33</v>
      </c>
    </row>
    <row r="304" spans="3:11" ht="15.5">
      <c r="C304" s="387" t="s">
        <v>1324</v>
      </c>
      <c r="D304" s="389" t="s">
        <v>22</v>
      </c>
      <c r="E304" s="390" t="s">
        <v>841</v>
      </c>
      <c r="F304" s="390" t="s">
        <v>20</v>
      </c>
      <c r="G304" s="390" t="s">
        <v>24</v>
      </c>
      <c r="H304" s="393" t="s">
        <v>31</v>
      </c>
      <c r="I304" s="393" t="s">
        <v>272</v>
      </c>
      <c r="J304" s="393" t="s">
        <v>34</v>
      </c>
      <c r="K304" s="394" t="s">
        <v>32</v>
      </c>
    </row>
    <row r="305" spans="3:11" ht="15.5">
      <c r="C305" s="387" t="s">
        <v>1323</v>
      </c>
      <c r="D305" s="389" t="s">
        <v>22</v>
      </c>
      <c r="E305" s="390" t="s">
        <v>841</v>
      </c>
      <c r="F305" s="390" t="s">
        <v>20</v>
      </c>
      <c r="G305" s="390" t="s">
        <v>24</v>
      </c>
      <c r="H305" s="393" t="s">
        <v>31</v>
      </c>
      <c r="I305" s="393" t="s">
        <v>272</v>
      </c>
      <c r="J305" s="393" t="s">
        <v>32</v>
      </c>
      <c r="K305" s="394" t="s">
        <v>33</v>
      </c>
    </row>
    <row r="306" spans="3:11" ht="15.5">
      <c r="C306" s="387" t="s">
        <v>1322</v>
      </c>
      <c r="D306" s="389" t="s">
        <v>22</v>
      </c>
      <c r="E306" s="390" t="s">
        <v>841</v>
      </c>
      <c r="F306" s="390" t="s">
        <v>20</v>
      </c>
      <c r="G306" s="390" t="s">
        <v>24</v>
      </c>
      <c r="H306" s="393" t="s">
        <v>32</v>
      </c>
      <c r="I306" s="393" t="s">
        <v>23</v>
      </c>
      <c r="J306" s="393" t="s">
        <v>34</v>
      </c>
      <c r="K306" s="394" t="s">
        <v>33</v>
      </c>
    </row>
    <row r="307" spans="3:11" ht="15.5">
      <c r="C307" s="387" t="s">
        <v>1321</v>
      </c>
      <c r="D307" s="389" t="s">
        <v>22</v>
      </c>
      <c r="E307" s="390" t="s">
        <v>841</v>
      </c>
      <c r="F307" s="390" t="s">
        <v>20</v>
      </c>
      <c r="G307" s="390" t="s">
        <v>23</v>
      </c>
      <c r="H307" s="393" t="s">
        <v>24</v>
      </c>
      <c r="I307" s="393" t="s">
        <v>31</v>
      </c>
      <c r="J307" s="393" t="s">
        <v>34</v>
      </c>
      <c r="K307" s="394" t="s">
        <v>33</v>
      </c>
    </row>
    <row r="308" spans="3:11" ht="15.5">
      <c r="C308" s="387" t="s">
        <v>1320</v>
      </c>
      <c r="D308" s="389" t="s">
        <v>22</v>
      </c>
      <c r="E308" s="390" t="s">
        <v>32</v>
      </c>
      <c r="F308" s="390" t="s">
        <v>20</v>
      </c>
      <c r="G308" s="390" t="s">
        <v>23</v>
      </c>
      <c r="H308" s="393" t="s">
        <v>24</v>
      </c>
      <c r="I308" s="393" t="s">
        <v>31</v>
      </c>
      <c r="J308" s="393" t="s">
        <v>34</v>
      </c>
      <c r="K308" s="394" t="s">
        <v>33</v>
      </c>
    </row>
    <row r="309" spans="3:11" ht="15.5">
      <c r="C309" s="387" t="s">
        <v>1319</v>
      </c>
      <c r="D309" s="389" t="s">
        <v>22</v>
      </c>
      <c r="E309" s="390" t="s">
        <v>841</v>
      </c>
      <c r="F309" s="390" t="s">
        <v>20</v>
      </c>
      <c r="G309" s="390" t="s">
        <v>23</v>
      </c>
      <c r="H309" s="393" t="s">
        <v>24</v>
      </c>
      <c r="I309" s="393" t="s">
        <v>31</v>
      </c>
      <c r="J309" s="393" t="s">
        <v>34</v>
      </c>
      <c r="K309" s="394" t="s">
        <v>32</v>
      </c>
    </row>
    <row r="310" spans="3:11" ht="15.5">
      <c r="C310" s="387" t="s">
        <v>1318</v>
      </c>
      <c r="D310" s="389" t="s">
        <v>22</v>
      </c>
      <c r="E310" s="390" t="s">
        <v>841</v>
      </c>
      <c r="F310" s="390" t="s">
        <v>20</v>
      </c>
      <c r="G310" s="390" t="s">
        <v>23</v>
      </c>
      <c r="H310" s="393" t="s">
        <v>24</v>
      </c>
      <c r="I310" s="393" t="s">
        <v>31</v>
      </c>
      <c r="J310" s="393" t="s">
        <v>32</v>
      </c>
      <c r="K310" s="394" t="s">
        <v>33</v>
      </c>
    </row>
    <row r="311" spans="3:11" ht="15.5">
      <c r="C311" s="387" t="s">
        <v>1317</v>
      </c>
      <c r="D311" s="389" t="s">
        <v>22</v>
      </c>
      <c r="E311" s="390" t="s">
        <v>841</v>
      </c>
      <c r="F311" s="390" t="s">
        <v>20</v>
      </c>
      <c r="G311" s="390" t="s">
        <v>23</v>
      </c>
      <c r="H311" s="393" t="s">
        <v>24</v>
      </c>
      <c r="I311" s="393" t="s">
        <v>272</v>
      </c>
      <c r="J311" s="393" t="s">
        <v>34</v>
      </c>
      <c r="K311" s="394" t="s">
        <v>33</v>
      </c>
    </row>
    <row r="312" spans="3:11" ht="15.5">
      <c r="C312" s="387" t="s">
        <v>1316</v>
      </c>
      <c r="D312" s="389" t="s">
        <v>22</v>
      </c>
      <c r="E312" s="390" t="s">
        <v>272</v>
      </c>
      <c r="F312" s="390" t="s">
        <v>20</v>
      </c>
      <c r="G312" s="390" t="s">
        <v>24</v>
      </c>
      <c r="H312" s="393" t="s">
        <v>32</v>
      </c>
      <c r="I312" s="393" t="s">
        <v>23</v>
      </c>
      <c r="J312" s="393" t="s">
        <v>34</v>
      </c>
      <c r="K312" s="394" t="s">
        <v>33</v>
      </c>
    </row>
    <row r="313" spans="3:11" ht="15.5">
      <c r="C313" s="387" t="s">
        <v>1315</v>
      </c>
      <c r="D313" s="389" t="s">
        <v>22</v>
      </c>
      <c r="E313" s="390" t="s">
        <v>841</v>
      </c>
      <c r="F313" s="390" t="s">
        <v>20</v>
      </c>
      <c r="G313" s="390" t="s">
        <v>23</v>
      </c>
      <c r="H313" s="393" t="s">
        <v>24</v>
      </c>
      <c r="I313" s="393" t="s">
        <v>272</v>
      </c>
      <c r="J313" s="393" t="s">
        <v>34</v>
      </c>
      <c r="K313" s="394" t="s">
        <v>32</v>
      </c>
    </row>
    <row r="314" spans="3:11" ht="15.5">
      <c r="C314" s="387" t="s">
        <v>1314</v>
      </c>
      <c r="D314" s="389" t="s">
        <v>22</v>
      </c>
      <c r="E314" s="390" t="s">
        <v>841</v>
      </c>
      <c r="F314" s="390" t="s">
        <v>20</v>
      </c>
      <c r="G314" s="390" t="s">
        <v>23</v>
      </c>
      <c r="H314" s="393" t="s">
        <v>24</v>
      </c>
      <c r="I314" s="393" t="s">
        <v>272</v>
      </c>
      <c r="J314" s="393" t="s">
        <v>32</v>
      </c>
      <c r="K314" s="394" t="s">
        <v>33</v>
      </c>
    </row>
    <row r="315" spans="3:11" ht="15.5">
      <c r="C315" s="387" t="s">
        <v>1313</v>
      </c>
      <c r="D315" s="389" t="s">
        <v>22</v>
      </c>
      <c r="E315" s="390" t="s">
        <v>272</v>
      </c>
      <c r="F315" s="390" t="s">
        <v>20</v>
      </c>
      <c r="G315" s="390" t="s">
        <v>23</v>
      </c>
      <c r="H315" s="393" t="s">
        <v>24</v>
      </c>
      <c r="I315" s="393" t="s">
        <v>31</v>
      </c>
      <c r="J315" s="393" t="s">
        <v>34</v>
      </c>
      <c r="K315" s="394" t="s">
        <v>33</v>
      </c>
    </row>
    <row r="316" spans="3:11" ht="15.5">
      <c r="C316" s="387" t="s">
        <v>1312</v>
      </c>
      <c r="D316" s="389" t="s">
        <v>31</v>
      </c>
      <c r="E316" s="390" t="s">
        <v>841</v>
      </c>
      <c r="F316" s="390" t="s">
        <v>20</v>
      </c>
      <c r="G316" s="390" t="s">
        <v>23</v>
      </c>
      <c r="H316" s="393" t="s">
        <v>24</v>
      </c>
      <c r="I316" s="393" t="s">
        <v>272</v>
      </c>
      <c r="J316" s="393" t="s">
        <v>34</v>
      </c>
      <c r="K316" s="394" t="s">
        <v>22</v>
      </c>
    </row>
    <row r="317" spans="3:11" ht="15.5">
      <c r="C317" s="387" t="s">
        <v>1311</v>
      </c>
      <c r="D317" s="389" t="s">
        <v>31</v>
      </c>
      <c r="E317" s="390" t="s">
        <v>841</v>
      </c>
      <c r="F317" s="390" t="s">
        <v>20</v>
      </c>
      <c r="G317" s="390" t="s">
        <v>23</v>
      </c>
      <c r="H317" s="393" t="s">
        <v>24</v>
      </c>
      <c r="I317" s="393" t="s">
        <v>272</v>
      </c>
      <c r="J317" s="393" t="s">
        <v>22</v>
      </c>
      <c r="K317" s="394" t="s">
        <v>33</v>
      </c>
    </row>
    <row r="318" spans="3:11" ht="15.5">
      <c r="C318" s="387" t="s">
        <v>1310</v>
      </c>
      <c r="D318" s="389" t="s">
        <v>22</v>
      </c>
      <c r="E318" s="390" t="s">
        <v>272</v>
      </c>
      <c r="F318" s="390" t="s">
        <v>20</v>
      </c>
      <c r="G318" s="390" t="s">
        <v>23</v>
      </c>
      <c r="H318" s="393" t="s">
        <v>24</v>
      </c>
      <c r="I318" s="393" t="s">
        <v>31</v>
      </c>
      <c r="J318" s="393" t="s">
        <v>34</v>
      </c>
      <c r="K318" s="394" t="s">
        <v>32</v>
      </c>
    </row>
    <row r="319" spans="3:11" ht="15.5">
      <c r="C319" s="387" t="s">
        <v>1309</v>
      </c>
      <c r="D319" s="389" t="s">
        <v>22</v>
      </c>
      <c r="E319" s="390" t="s">
        <v>272</v>
      </c>
      <c r="F319" s="390" t="s">
        <v>20</v>
      </c>
      <c r="G319" s="390" t="s">
        <v>23</v>
      </c>
      <c r="H319" s="393" t="s">
        <v>24</v>
      </c>
      <c r="I319" s="393" t="s">
        <v>31</v>
      </c>
      <c r="J319" s="393" t="s">
        <v>32</v>
      </c>
      <c r="K319" s="394" t="s">
        <v>33</v>
      </c>
    </row>
    <row r="320" spans="3:11" ht="15.5">
      <c r="C320" s="387" t="s">
        <v>1308</v>
      </c>
      <c r="D320" s="389" t="s">
        <v>31</v>
      </c>
      <c r="E320" s="390" t="s">
        <v>841</v>
      </c>
      <c r="F320" s="390" t="s">
        <v>20</v>
      </c>
      <c r="G320" s="390" t="s">
        <v>23</v>
      </c>
      <c r="H320" s="393" t="s">
        <v>24</v>
      </c>
      <c r="I320" s="393" t="s">
        <v>272</v>
      </c>
      <c r="J320" s="393" t="s">
        <v>22</v>
      </c>
      <c r="K320" s="394" t="s">
        <v>32</v>
      </c>
    </row>
    <row r="321" spans="3:11" ht="15.5">
      <c r="C321" s="387" t="s">
        <v>1307</v>
      </c>
      <c r="D321" s="389" t="s">
        <v>32</v>
      </c>
      <c r="E321" s="390" t="s">
        <v>841</v>
      </c>
      <c r="F321" s="390" t="s">
        <v>20</v>
      </c>
      <c r="G321" s="390" t="s">
        <v>25</v>
      </c>
      <c r="H321" s="393" t="s">
        <v>24</v>
      </c>
      <c r="I321" s="393" t="s">
        <v>31</v>
      </c>
      <c r="J321" s="393" t="s">
        <v>34</v>
      </c>
      <c r="K321" s="394" t="s">
        <v>33</v>
      </c>
    </row>
    <row r="322" spans="3:11" ht="15.5">
      <c r="C322" s="387" t="s">
        <v>1306</v>
      </c>
      <c r="D322" s="389" t="s">
        <v>32</v>
      </c>
      <c r="E322" s="390" t="s">
        <v>841</v>
      </c>
      <c r="F322" s="390" t="s">
        <v>20</v>
      </c>
      <c r="G322" s="390" t="s">
        <v>25</v>
      </c>
      <c r="H322" s="393" t="s">
        <v>24</v>
      </c>
      <c r="I322" s="393" t="s">
        <v>272</v>
      </c>
      <c r="J322" s="393" t="s">
        <v>34</v>
      </c>
      <c r="K322" s="394" t="s">
        <v>33</v>
      </c>
    </row>
    <row r="323" spans="3:11" ht="15.5">
      <c r="C323" s="387" t="s">
        <v>1305</v>
      </c>
      <c r="D323" s="389" t="s">
        <v>31</v>
      </c>
      <c r="E323" s="390" t="s">
        <v>841</v>
      </c>
      <c r="F323" s="390" t="s">
        <v>20</v>
      </c>
      <c r="G323" s="390" t="s">
        <v>25</v>
      </c>
      <c r="H323" s="393" t="s">
        <v>24</v>
      </c>
      <c r="I323" s="393" t="s">
        <v>272</v>
      </c>
      <c r="J323" s="393" t="s">
        <v>34</v>
      </c>
      <c r="K323" s="394" t="s">
        <v>33</v>
      </c>
    </row>
    <row r="324" spans="3:11" ht="15.5">
      <c r="C324" s="387" t="s">
        <v>1304</v>
      </c>
      <c r="D324" s="389" t="s">
        <v>32</v>
      </c>
      <c r="E324" s="390" t="s">
        <v>272</v>
      </c>
      <c r="F324" s="390" t="s">
        <v>20</v>
      </c>
      <c r="G324" s="390" t="s">
        <v>25</v>
      </c>
      <c r="H324" s="393" t="s">
        <v>24</v>
      </c>
      <c r="I324" s="393" t="s">
        <v>31</v>
      </c>
      <c r="J324" s="393" t="s">
        <v>34</v>
      </c>
      <c r="K324" s="394" t="s">
        <v>33</v>
      </c>
    </row>
    <row r="325" spans="3:11" ht="15.5">
      <c r="C325" s="387" t="s">
        <v>1303</v>
      </c>
      <c r="D325" s="389" t="s">
        <v>31</v>
      </c>
      <c r="E325" s="390" t="s">
        <v>841</v>
      </c>
      <c r="F325" s="390" t="s">
        <v>20</v>
      </c>
      <c r="G325" s="390" t="s">
        <v>25</v>
      </c>
      <c r="H325" s="393" t="s">
        <v>24</v>
      </c>
      <c r="I325" s="393" t="s">
        <v>272</v>
      </c>
      <c r="J325" s="393" t="s">
        <v>34</v>
      </c>
      <c r="K325" s="394" t="s">
        <v>32</v>
      </c>
    </row>
    <row r="326" spans="3:11" ht="15.5">
      <c r="C326" s="387" t="s">
        <v>1302</v>
      </c>
      <c r="D326" s="389" t="s">
        <v>31</v>
      </c>
      <c r="E326" s="390" t="s">
        <v>841</v>
      </c>
      <c r="F326" s="390" t="s">
        <v>20</v>
      </c>
      <c r="G326" s="390" t="s">
        <v>25</v>
      </c>
      <c r="H326" s="393" t="s">
        <v>24</v>
      </c>
      <c r="I326" s="393" t="s">
        <v>272</v>
      </c>
      <c r="J326" s="393" t="s">
        <v>32</v>
      </c>
      <c r="K326" s="394" t="s">
        <v>33</v>
      </c>
    </row>
    <row r="327" spans="3:11" ht="15.5">
      <c r="C327" s="387" t="s">
        <v>1301</v>
      </c>
      <c r="D327" s="389" t="s">
        <v>32</v>
      </c>
      <c r="E327" s="390" t="s">
        <v>841</v>
      </c>
      <c r="F327" s="390" t="s">
        <v>20</v>
      </c>
      <c r="G327" s="390" t="s">
        <v>25</v>
      </c>
      <c r="H327" s="393" t="s">
        <v>24</v>
      </c>
      <c r="I327" s="393" t="s">
        <v>23</v>
      </c>
      <c r="J327" s="393" t="s">
        <v>34</v>
      </c>
      <c r="K327" s="394" t="s">
        <v>33</v>
      </c>
    </row>
    <row r="328" spans="3:11" ht="15.5">
      <c r="C328" s="387" t="s">
        <v>1300</v>
      </c>
      <c r="D328" s="389" t="s">
        <v>31</v>
      </c>
      <c r="E328" s="390" t="s">
        <v>841</v>
      </c>
      <c r="F328" s="390" t="s">
        <v>20</v>
      </c>
      <c r="G328" s="390" t="s">
        <v>25</v>
      </c>
      <c r="H328" s="393" t="s">
        <v>24</v>
      </c>
      <c r="I328" s="393" t="s">
        <v>23</v>
      </c>
      <c r="J328" s="393" t="s">
        <v>34</v>
      </c>
      <c r="K328" s="394" t="s">
        <v>33</v>
      </c>
    </row>
    <row r="329" spans="3:11" ht="15.5">
      <c r="C329" s="387" t="s">
        <v>1299</v>
      </c>
      <c r="D329" s="389" t="s">
        <v>31</v>
      </c>
      <c r="E329" s="390" t="s">
        <v>32</v>
      </c>
      <c r="F329" s="390" t="s">
        <v>20</v>
      </c>
      <c r="G329" s="390" t="s">
        <v>25</v>
      </c>
      <c r="H329" s="393" t="s">
        <v>24</v>
      </c>
      <c r="I329" s="393" t="s">
        <v>23</v>
      </c>
      <c r="J329" s="393" t="s">
        <v>34</v>
      </c>
      <c r="K329" s="394" t="s">
        <v>33</v>
      </c>
    </row>
    <row r="330" spans="3:11" ht="15.5">
      <c r="C330" s="387" t="s">
        <v>1298</v>
      </c>
      <c r="D330" s="389" t="s">
        <v>31</v>
      </c>
      <c r="E330" s="390" t="s">
        <v>841</v>
      </c>
      <c r="F330" s="390" t="s">
        <v>20</v>
      </c>
      <c r="G330" s="390" t="s">
        <v>25</v>
      </c>
      <c r="H330" s="393" t="s">
        <v>24</v>
      </c>
      <c r="I330" s="393" t="s">
        <v>23</v>
      </c>
      <c r="J330" s="393" t="s">
        <v>34</v>
      </c>
      <c r="K330" s="394" t="s">
        <v>32</v>
      </c>
    </row>
    <row r="331" spans="3:11" ht="15.5">
      <c r="C331" s="387" t="s">
        <v>1297</v>
      </c>
      <c r="D331" s="389" t="s">
        <v>31</v>
      </c>
      <c r="E331" s="390" t="s">
        <v>841</v>
      </c>
      <c r="F331" s="390" t="s">
        <v>20</v>
      </c>
      <c r="G331" s="390" t="s">
        <v>25</v>
      </c>
      <c r="H331" s="393" t="s">
        <v>24</v>
      </c>
      <c r="I331" s="393" t="s">
        <v>23</v>
      </c>
      <c r="J331" s="393" t="s">
        <v>32</v>
      </c>
      <c r="K331" s="394" t="s">
        <v>33</v>
      </c>
    </row>
    <row r="332" spans="3:11" ht="15.5">
      <c r="C332" s="387" t="s">
        <v>1296</v>
      </c>
      <c r="D332" s="389" t="s">
        <v>23</v>
      </c>
      <c r="E332" s="390" t="s">
        <v>841</v>
      </c>
      <c r="F332" s="390" t="s">
        <v>20</v>
      </c>
      <c r="G332" s="390" t="s">
        <v>25</v>
      </c>
      <c r="H332" s="393" t="s">
        <v>24</v>
      </c>
      <c r="I332" s="393" t="s">
        <v>272</v>
      </c>
      <c r="J332" s="393" t="s">
        <v>34</v>
      </c>
      <c r="K332" s="394" t="s">
        <v>33</v>
      </c>
    </row>
    <row r="333" spans="3:11" ht="15.5">
      <c r="C333" s="387" t="s">
        <v>1295</v>
      </c>
      <c r="D333" s="389" t="s">
        <v>32</v>
      </c>
      <c r="E333" s="390" t="s">
        <v>272</v>
      </c>
      <c r="F333" s="390" t="s">
        <v>20</v>
      </c>
      <c r="G333" s="390" t="s">
        <v>25</v>
      </c>
      <c r="H333" s="393" t="s">
        <v>24</v>
      </c>
      <c r="I333" s="393" t="s">
        <v>23</v>
      </c>
      <c r="J333" s="393" t="s">
        <v>34</v>
      </c>
      <c r="K333" s="394" t="s">
        <v>33</v>
      </c>
    </row>
    <row r="334" spans="3:11" ht="15.5">
      <c r="C334" s="387" t="s">
        <v>1294</v>
      </c>
      <c r="D334" s="389" t="s">
        <v>23</v>
      </c>
      <c r="E334" s="390" t="s">
        <v>841</v>
      </c>
      <c r="F334" s="390" t="s">
        <v>20</v>
      </c>
      <c r="G334" s="390" t="s">
        <v>25</v>
      </c>
      <c r="H334" s="393" t="s">
        <v>24</v>
      </c>
      <c r="I334" s="393" t="s">
        <v>272</v>
      </c>
      <c r="J334" s="393" t="s">
        <v>34</v>
      </c>
      <c r="K334" s="394" t="s">
        <v>32</v>
      </c>
    </row>
    <row r="335" spans="3:11" ht="15.5">
      <c r="C335" s="387" t="s">
        <v>1293</v>
      </c>
      <c r="D335" s="389" t="s">
        <v>23</v>
      </c>
      <c r="E335" s="390" t="s">
        <v>841</v>
      </c>
      <c r="F335" s="390" t="s">
        <v>20</v>
      </c>
      <c r="G335" s="390" t="s">
        <v>25</v>
      </c>
      <c r="H335" s="393" t="s">
        <v>24</v>
      </c>
      <c r="I335" s="393" t="s">
        <v>272</v>
      </c>
      <c r="J335" s="393" t="s">
        <v>32</v>
      </c>
      <c r="K335" s="394" t="s">
        <v>33</v>
      </c>
    </row>
    <row r="336" spans="3:11" ht="15.5">
      <c r="C336" s="387" t="s">
        <v>1292</v>
      </c>
      <c r="D336" s="389" t="s">
        <v>31</v>
      </c>
      <c r="E336" s="390" t="s">
        <v>272</v>
      </c>
      <c r="F336" s="390" t="s">
        <v>20</v>
      </c>
      <c r="G336" s="390" t="s">
        <v>25</v>
      </c>
      <c r="H336" s="393" t="s">
        <v>24</v>
      </c>
      <c r="I336" s="393" t="s">
        <v>23</v>
      </c>
      <c r="J336" s="393" t="s">
        <v>34</v>
      </c>
      <c r="K336" s="394" t="s">
        <v>33</v>
      </c>
    </row>
    <row r="337" spans="3:11" ht="15.5">
      <c r="C337" s="387" t="s">
        <v>1291</v>
      </c>
      <c r="D337" s="389" t="s">
        <v>31</v>
      </c>
      <c r="E337" s="390" t="s">
        <v>272</v>
      </c>
      <c r="F337" s="390" t="s">
        <v>20</v>
      </c>
      <c r="G337" s="390" t="s">
        <v>25</v>
      </c>
      <c r="H337" s="393" t="s">
        <v>24</v>
      </c>
      <c r="I337" s="393" t="s">
        <v>23</v>
      </c>
      <c r="J337" s="393" t="s">
        <v>34</v>
      </c>
      <c r="K337" s="394" t="s">
        <v>841</v>
      </c>
    </row>
    <row r="338" spans="3:11" ht="15.5">
      <c r="C338" s="387" t="s">
        <v>1290</v>
      </c>
      <c r="D338" s="389" t="s">
        <v>31</v>
      </c>
      <c r="E338" s="390" t="s">
        <v>272</v>
      </c>
      <c r="F338" s="390" t="s">
        <v>20</v>
      </c>
      <c r="G338" s="390" t="s">
        <v>25</v>
      </c>
      <c r="H338" s="393" t="s">
        <v>24</v>
      </c>
      <c r="I338" s="393" t="s">
        <v>23</v>
      </c>
      <c r="J338" s="393" t="s">
        <v>841</v>
      </c>
      <c r="K338" s="394" t="s">
        <v>33</v>
      </c>
    </row>
    <row r="339" spans="3:11" ht="15.5">
      <c r="C339" s="387" t="s">
        <v>1289</v>
      </c>
      <c r="D339" s="389" t="s">
        <v>31</v>
      </c>
      <c r="E339" s="390" t="s">
        <v>272</v>
      </c>
      <c r="F339" s="390" t="s">
        <v>20</v>
      </c>
      <c r="G339" s="390" t="s">
        <v>25</v>
      </c>
      <c r="H339" s="393" t="s">
        <v>24</v>
      </c>
      <c r="I339" s="393" t="s">
        <v>23</v>
      </c>
      <c r="J339" s="393" t="s">
        <v>34</v>
      </c>
      <c r="K339" s="394" t="s">
        <v>32</v>
      </c>
    </row>
    <row r="340" spans="3:11" ht="15.5">
      <c r="C340" s="387" t="s">
        <v>1288</v>
      </c>
      <c r="D340" s="389" t="s">
        <v>31</v>
      </c>
      <c r="E340" s="390" t="s">
        <v>272</v>
      </c>
      <c r="F340" s="390" t="s">
        <v>20</v>
      </c>
      <c r="G340" s="390" t="s">
        <v>25</v>
      </c>
      <c r="H340" s="393" t="s">
        <v>24</v>
      </c>
      <c r="I340" s="393" t="s">
        <v>23</v>
      </c>
      <c r="J340" s="393" t="s">
        <v>32</v>
      </c>
      <c r="K340" s="394" t="s">
        <v>33</v>
      </c>
    </row>
    <row r="341" spans="3:11" ht="15.5">
      <c r="C341" s="387" t="s">
        <v>1287</v>
      </c>
      <c r="D341" s="389" t="s">
        <v>31</v>
      </c>
      <c r="E341" s="390" t="s">
        <v>272</v>
      </c>
      <c r="F341" s="390" t="s">
        <v>20</v>
      </c>
      <c r="G341" s="390" t="s">
        <v>25</v>
      </c>
      <c r="H341" s="393" t="s">
        <v>24</v>
      </c>
      <c r="I341" s="393" t="s">
        <v>23</v>
      </c>
      <c r="J341" s="393" t="s">
        <v>32</v>
      </c>
      <c r="K341" s="394" t="s">
        <v>841</v>
      </c>
    </row>
    <row r="342" spans="3:11" ht="15.5">
      <c r="C342" s="387" t="s">
        <v>1286</v>
      </c>
      <c r="D342" s="389" t="s">
        <v>22</v>
      </c>
      <c r="E342" s="390" t="s">
        <v>841</v>
      </c>
      <c r="F342" s="390" t="s">
        <v>20</v>
      </c>
      <c r="G342" s="390" t="s">
        <v>24</v>
      </c>
      <c r="H342" s="393" t="s">
        <v>32</v>
      </c>
      <c r="I342" s="393" t="s">
        <v>25</v>
      </c>
      <c r="J342" s="393" t="s">
        <v>34</v>
      </c>
      <c r="K342" s="394" t="s">
        <v>33</v>
      </c>
    </row>
    <row r="343" spans="3:11" ht="15.5">
      <c r="C343" s="387" t="s">
        <v>1285</v>
      </c>
      <c r="D343" s="389" t="s">
        <v>22</v>
      </c>
      <c r="E343" s="390" t="s">
        <v>841</v>
      </c>
      <c r="F343" s="390" t="s">
        <v>20</v>
      </c>
      <c r="G343" s="390" t="s">
        <v>25</v>
      </c>
      <c r="H343" s="393" t="s">
        <v>24</v>
      </c>
      <c r="I343" s="393" t="s">
        <v>31</v>
      </c>
      <c r="J343" s="393" t="s">
        <v>34</v>
      </c>
      <c r="K343" s="394" t="s">
        <v>33</v>
      </c>
    </row>
    <row r="344" spans="3:11" ht="15.5">
      <c r="C344" s="387" t="s">
        <v>1284</v>
      </c>
      <c r="D344" s="389" t="s">
        <v>22</v>
      </c>
      <c r="E344" s="390" t="s">
        <v>32</v>
      </c>
      <c r="F344" s="390" t="s">
        <v>20</v>
      </c>
      <c r="G344" s="390" t="s">
        <v>25</v>
      </c>
      <c r="H344" s="393" t="s">
        <v>24</v>
      </c>
      <c r="I344" s="393" t="s">
        <v>31</v>
      </c>
      <c r="J344" s="393" t="s">
        <v>34</v>
      </c>
      <c r="K344" s="394" t="s">
        <v>33</v>
      </c>
    </row>
    <row r="345" spans="3:11" ht="15.5">
      <c r="C345" s="387" t="s">
        <v>1283</v>
      </c>
      <c r="D345" s="389" t="s">
        <v>22</v>
      </c>
      <c r="E345" s="390" t="s">
        <v>841</v>
      </c>
      <c r="F345" s="390" t="s">
        <v>20</v>
      </c>
      <c r="G345" s="390" t="s">
        <v>25</v>
      </c>
      <c r="H345" s="393" t="s">
        <v>24</v>
      </c>
      <c r="I345" s="393" t="s">
        <v>31</v>
      </c>
      <c r="J345" s="393" t="s">
        <v>34</v>
      </c>
      <c r="K345" s="394" t="s">
        <v>32</v>
      </c>
    </row>
    <row r="346" spans="3:11" ht="15.5">
      <c r="C346" s="387" t="s">
        <v>1282</v>
      </c>
      <c r="D346" s="389" t="s">
        <v>22</v>
      </c>
      <c r="E346" s="390" t="s">
        <v>841</v>
      </c>
      <c r="F346" s="390" t="s">
        <v>20</v>
      </c>
      <c r="G346" s="390" t="s">
        <v>25</v>
      </c>
      <c r="H346" s="393" t="s">
        <v>24</v>
      </c>
      <c r="I346" s="393" t="s">
        <v>31</v>
      </c>
      <c r="J346" s="393" t="s">
        <v>32</v>
      </c>
      <c r="K346" s="394" t="s">
        <v>33</v>
      </c>
    </row>
    <row r="347" spans="3:11" ht="15.5">
      <c r="C347" s="387" t="s">
        <v>1281</v>
      </c>
      <c r="D347" s="389" t="s">
        <v>22</v>
      </c>
      <c r="E347" s="390" t="s">
        <v>841</v>
      </c>
      <c r="F347" s="390" t="s">
        <v>20</v>
      </c>
      <c r="G347" s="390" t="s">
        <v>25</v>
      </c>
      <c r="H347" s="393" t="s">
        <v>24</v>
      </c>
      <c r="I347" s="393" t="s">
        <v>272</v>
      </c>
      <c r="J347" s="393" t="s">
        <v>34</v>
      </c>
      <c r="K347" s="394" t="s">
        <v>33</v>
      </c>
    </row>
    <row r="348" spans="3:11" ht="15.5">
      <c r="C348" s="387" t="s">
        <v>1280</v>
      </c>
      <c r="D348" s="389" t="s">
        <v>22</v>
      </c>
      <c r="E348" s="390" t="s">
        <v>272</v>
      </c>
      <c r="F348" s="390" t="s">
        <v>20</v>
      </c>
      <c r="G348" s="390" t="s">
        <v>24</v>
      </c>
      <c r="H348" s="393" t="s">
        <v>32</v>
      </c>
      <c r="I348" s="393" t="s">
        <v>25</v>
      </c>
      <c r="J348" s="393" t="s">
        <v>34</v>
      </c>
      <c r="K348" s="394" t="s">
        <v>33</v>
      </c>
    </row>
    <row r="349" spans="3:11" ht="15.5">
      <c r="C349" s="387" t="s">
        <v>1279</v>
      </c>
      <c r="D349" s="389" t="s">
        <v>22</v>
      </c>
      <c r="E349" s="390" t="s">
        <v>841</v>
      </c>
      <c r="F349" s="390" t="s">
        <v>20</v>
      </c>
      <c r="G349" s="390" t="s">
        <v>25</v>
      </c>
      <c r="H349" s="393" t="s">
        <v>24</v>
      </c>
      <c r="I349" s="393" t="s">
        <v>272</v>
      </c>
      <c r="J349" s="393" t="s">
        <v>34</v>
      </c>
      <c r="K349" s="394" t="s">
        <v>32</v>
      </c>
    </row>
    <row r="350" spans="3:11" ht="15.5">
      <c r="C350" s="387" t="s">
        <v>1278</v>
      </c>
      <c r="D350" s="389" t="s">
        <v>22</v>
      </c>
      <c r="E350" s="390" t="s">
        <v>841</v>
      </c>
      <c r="F350" s="390" t="s">
        <v>20</v>
      </c>
      <c r="G350" s="390" t="s">
        <v>25</v>
      </c>
      <c r="H350" s="393" t="s">
        <v>24</v>
      </c>
      <c r="I350" s="393" t="s">
        <v>272</v>
      </c>
      <c r="J350" s="393" t="s">
        <v>32</v>
      </c>
      <c r="K350" s="394" t="s">
        <v>33</v>
      </c>
    </row>
    <row r="351" spans="3:11" ht="15.5">
      <c r="C351" s="387" t="s">
        <v>1277</v>
      </c>
      <c r="D351" s="389" t="s">
        <v>22</v>
      </c>
      <c r="E351" s="390" t="s">
        <v>272</v>
      </c>
      <c r="F351" s="390" t="s">
        <v>20</v>
      </c>
      <c r="G351" s="390" t="s">
        <v>25</v>
      </c>
      <c r="H351" s="393" t="s">
        <v>24</v>
      </c>
      <c r="I351" s="393" t="s">
        <v>31</v>
      </c>
      <c r="J351" s="393" t="s">
        <v>34</v>
      </c>
      <c r="K351" s="394" t="s">
        <v>33</v>
      </c>
    </row>
    <row r="352" spans="3:11" ht="15.5">
      <c r="C352" s="387" t="s">
        <v>1276</v>
      </c>
      <c r="D352" s="389" t="s">
        <v>31</v>
      </c>
      <c r="E352" s="390" t="s">
        <v>841</v>
      </c>
      <c r="F352" s="390" t="s">
        <v>20</v>
      </c>
      <c r="G352" s="390" t="s">
        <v>25</v>
      </c>
      <c r="H352" s="393" t="s">
        <v>24</v>
      </c>
      <c r="I352" s="393" t="s">
        <v>272</v>
      </c>
      <c r="J352" s="393" t="s">
        <v>34</v>
      </c>
      <c r="K352" s="394" t="s">
        <v>22</v>
      </c>
    </row>
    <row r="353" spans="3:11" ht="15.5">
      <c r="C353" s="387" t="s">
        <v>1275</v>
      </c>
      <c r="D353" s="389" t="s">
        <v>31</v>
      </c>
      <c r="E353" s="390" t="s">
        <v>841</v>
      </c>
      <c r="F353" s="390" t="s">
        <v>20</v>
      </c>
      <c r="G353" s="390" t="s">
        <v>25</v>
      </c>
      <c r="H353" s="393" t="s">
        <v>24</v>
      </c>
      <c r="I353" s="393" t="s">
        <v>272</v>
      </c>
      <c r="J353" s="393" t="s">
        <v>22</v>
      </c>
      <c r="K353" s="394" t="s">
        <v>33</v>
      </c>
    </row>
    <row r="354" spans="3:11" ht="15.5">
      <c r="C354" s="387" t="s">
        <v>1274</v>
      </c>
      <c r="D354" s="389" t="s">
        <v>22</v>
      </c>
      <c r="E354" s="390" t="s">
        <v>272</v>
      </c>
      <c r="F354" s="390" t="s">
        <v>20</v>
      </c>
      <c r="G354" s="390" t="s">
        <v>25</v>
      </c>
      <c r="H354" s="393" t="s">
        <v>24</v>
      </c>
      <c r="I354" s="393" t="s">
        <v>31</v>
      </c>
      <c r="J354" s="393" t="s">
        <v>34</v>
      </c>
      <c r="K354" s="394" t="s">
        <v>32</v>
      </c>
    </row>
    <row r="355" spans="3:11" ht="15.5">
      <c r="C355" s="387" t="s">
        <v>1273</v>
      </c>
      <c r="D355" s="389" t="s">
        <v>22</v>
      </c>
      <c r="E355" s="390" t="s">
        <v>272</v>
      </c>
      <c r="F355" s="390" t="s">
        <v>20</v>
      </c>
      <c r="G355" s="390" t="s">
        <v>25</v>
      </c>
      <c r="H355" s="393" t="s">
        <v>24</v>
      </c>
      <c r="I355" s="393" t="s">
        <v>31</v>
      </c>
      <c r="J355" s="393" t="s">
        <v>32</v>
      </c>
      <c r="K355" s="394" t="s">
        <v>33</v>
      </c>
    </row>
    <row r="356" spans="3:11" ht="15.5">
      <c r="C356" s="387" t="s">
        <v>1272</v>
      </c>
      <c r="D356" s="389" t="s">
        <v>31</v>
      </c>
      <c r="E356" s="390" t="s">
        <v>841</v>
      </c>
      <c r="F356" s="390" t="s">
        <v>20</v>
      </c>
      <c r="G356" s="390" t="s">
        <v>25</v>
      </c>
      <c r="H356" s="393" t="s">
        <v>24</v>
      </c>
      <c r="I356" s="393" t="s">
        <v>272</v>
      </c>
      <c r="J356" s="393" t="s">
        <v>22</v>
      </c>
      <c r="K356" s="394" t="s">
        <v>32</v>
      </c>
    </row>
    <row r="357" spans="3:11" ht="15.5">
      <c r="C357" s="387" t="s">
        <v>1271</v>
      </c>
      <c r="D357" s="389" t="s">
        <v>22</v>
      </c>
      <c r="E357" s="390" t="s">
        <v>841</v>
      </c>
      <c r="F357" s="390" t="s">
        <v>20</v>
      </c>
      <c r="G357" s="390" t="s">
        <v>25</v>
      </c>
      <c r="H357" s="393" t="s">
        <v>24</v>
      </c>
      <c r="I357" s="393" t="s">
        <v>23</v>
      </c>
      <c r="J357" s="393" t="s">
        <v>34</v>
      </c>
      <c r="K357" s="394" t="s">
        <v>33</v>
      </c>
    </row>
    <row r="358" spans="3:11" ht="15.5">
      <c r="C358" s="387" t="s">
        <v>1270</v>
      </c>
      <c r="D358" s="389" t="s">
        <v>22</v>
      </c>
      <c r="E358" s="390" t="s">
        <v>32</v>
      </c>
      <c r="F358" s="390" t="s">
        <v>20</v>
      </c>
      <c r="G358" s="390" t="s">
        <v>25</v>
      </c>
      <c r="H358" s="393" t="s">
        <v>24</v>
      </c>
      <c r="I358" s="393" t="s">
        <v>23</v>
      </c>
      <c r="J358" s="393" t="s">
        <v>34</v>
      </c>
      <c r="K358" s="394" t="s">
        <v>33</v>
      </c>
    </row>
    <row r="359" spans="3:11" ht="15.5">
      <c r="C359" s="387" t="s">
        <v>1269</v>
      </c>
      <c r="D359" s="389" t="s">
        <v>22</v>
      </c>
      <c r="E359" s="390" t="s">
        <v>841</v>
      </c>
      <c r="F359" s="390" t="s">
        <v>20</v>
      </c>
      <c r="G359" s="390" t="s">
        <v>25</v>
      </c>
      <c r="H359" s="393" t="s">
        <v>24</v>
      </c>
      <c r="I359" s="393" t="s">
        <v>23</v>
      </c>
      <c r="J359" s="393" t="s">
        <v>34</v>
      </c>
      <c r="K359" s="394" t="s">
        <v>32</v>
      </c>
    </row>
    <row r="360" spans="3:11" ht="15.5">
      <c r="C360" s="387" t="s">
        <v>1268</v>
      </c>
      <c r="D360" s="389" t="s">
        <v>22</v>
      </c>
      <c r="E360" s="390" t="s">
        <v>841</v>
      </c>
      <c r="F360" s="390" t="s">
        <v>20</v>
      </c>
      <c r="G360" s="390" t="s">
        <v>25</v>
      </c>
      <c r="H360" s="393" t="s">
        <v>24</v>
      </c>
      <c r="I360" s="393" t="s">
        <v>23</v>
      </c>
      <c r="J360" s="393" t="s">
        <v>32</v>
      </c>
      <c r="K360" s="394" t="s">
        <v>33</v>
      </c>
    </row>
    <row r="361" spans="3:11" ht="15.5">
      <c r="C361" s="387" t="s">
        <v>1267</v>
      </c>
      <c r="D361" s="389" t="s">
        <v>31</v>
      </c>
      <c r="E361" s="390" t="s">
        <v>22</v>
      </c>
      <c r="F361" s="390" t="s">
        <v>20</v>
      </c>
      <c r="G361" s="390" t="s">
        <v>25</v>
      </c>
      <c r="H361" s="393" t="s">
        <v>24</v>
      </c>
      <c r="I361" s="393" t="s">
        <v>23</v>
      </c>
      <c r="J361" s="393" t="s">
        <v>34</v>
      </c>
      <c r="K361" s="394" t="s">
        <v>33</v>
      </c>
    </row>
    <row r="362" spans="3:11" ht="15.5">
      <c r="C362" s="387" t="s">
        <v>1266</v>
      </c>
      <c r="D362" s="389" t="s">
        <v>31</v>
      </c>
      <c r="E362" s="390" t="s">
        <v>841</v>
      </c>
      <c r="F362" s="390" t="s">
        <v>20</v>
      </c>
      <c r="G362" s="390" t="s">
        <v>25</v>
      </c>
      <c r="H362" s="393" t="s">
        <v>24</v>
      </c>
      <c r="I362" s="393" t="s">
        <v>23</v>
      </c>
      <c r="J362" s="393" t="s">
        <v>34</v>
      </c>
      <c r="K362" s="394" t="s">
        <v>22</v>
      </c>
    </row>
    <row r="363" spans="3:11" ht="15.5">
      <c r="C363" s="387" t="s">
        <v>1265</v>
      </c>
      <c r="D363" s="389" t="s">
        <v>31</v>
      </c>
      <c r="E363" s="390" t="s">
        <v>841</v>
      </c>
      <c r="F363" s="390" t="s">
        <v>20</v>
      </c>
      <c r="G363" s="390" t="s">
        <v>25</v>
      </c>
      <c r="H363" s="393" t="s">
        <v>24</v>
      </c>
      <c r="I363" s="393" t="s">
        <v>23</v>
      </c>
      <c r="J363" s="393" t="s">
        <v>22</v>
      </c>
      <c r="K363" s="394" t="s">
        <v>33</v>
      </c>
    </row>
    <row r="364" spans="3:11" ht="15.5">
      <c r="C364" s="387" t="s">
        <v>1264</v>
      </c>
      <c r="D364" s="389" t="s">
        <v>31</v>
      </c>
      <c r="E364" s="390" t="s">
        <v>22</v>
      </c>
      <c r="F364" s="390" t="s">
        <v>20</v>
      </c>
      <c r="G364" s="390" t="s">
        <v>25</v>
      </c>
      <c r="H364" s="393" t="s">
        <v>24</v>
      </c>
      <c r="I364" s="393" t="s">
        <v>23</v>
      </c>
      <c r="J364" s="393" t="s">
        <v>34</v>
      </c>
      <c r="K364" s="394" t="s">
        <v>32</v>
      </c>
    </row>
    <row r="365" spans="3:11" ht="15.5">
      <c r="C365" s="387" t="s">
        <v>1263</v>
      </c>
      <c r="D365" s="389" t="s">
        <v>31</v>
      </c>
      <c r="E365" s="390" t="s">
        <v>22</v>
      </c>
      <c r="F365" s="390" t="s">
        <v>20</v>
      </c>
      <c r="G365" s="390" t="s">
        <v>25</v>
      </c>
      <c r="H365" s="393" t="s">
        <v>24</v>
      </c>
      <c r="I365" s="393" t="s">
        <v>23</v>
      </c>
      <c r="J365" s="393" t="s">
        <v>32</v>
      </c>
      <c r="K365" s="394" t="s">
        <v>33</v>
      </c>
    </row>
    <row r="366" spans="3:11" ht="15.5">
      <c r="C366" s="387" t="s">
        <v>1262</v>
      </c>
      <c r="D366" s="389" t="s">
        <v>31</v>
      </c>
      <c r="E366" s="390" t="s">
        <v>841</v>
      </c>
      <c r="F366" s="390" t="s">
        <v>20</v>
      </c>
      <c r="G366" s="390" t="s">
        <v>25</v>
      </c>
      <c r="H366" s="393" t="s">
        <v>24</v>
      </c>
      <c r="I366" s="393" t="s">
        <v>23</v>
      </c>
      <c r="J366" s="393" t="s">
        <v>22</v>
      </c>
      <c r="K366" s="394" t="s">
        <v>32</v>
      </c>
    </row>
    <row r="367" spans="3:11" ht="15.5">
      <c r="C367" s="387" t="s">
        <v>1261</v>
      </c>
      <c r="D367" s="389" t="s">
        <v>22</v>
      </c>
      <c r="E367" s="390" t="s">
        <v>272</v>
      </c>
      <c r="F367" s="390" t="s">
        <v>20</v>
      </c>
      <c r="G367" s="390" t="s">
        <v>25</v>
      </c>
      <c r="H367" s="393" t="s">
        <v>24</v>
      </c>
      <c r="I367" s="393" t="s">
        <v>23</v>
      </c>
      <c r="J367" s="393" t="s">
        <v>34</v>
      </c>
      <c r="K367" s="394" t="s">
        <v>33</v>
      </c>
    </row>
    <row r="368" spans="3:11" ht="15.5">
      <c r="C368" s="387" t="s">
        <v>1260</v>
      </c>
      <c r="D368" s="389" t="s">
        <v>22</v>
      </c>
      <c r="E368" s="390" t="s">
        <v>272</v>
      </c>
      <c r="F368" s="390" t="s">
        <v>20</v>
      </c>
      <c r="G368" s="390" t="s">
        <v>25</v>
      </c>
      <c r="H368" s="393" t="s">
        <v>24</v>
      </c>
      <c r="I368" s="393" t="s">
        <v>23</v>
      </c>
      <c r="J368" s="393" t="s">
        <v>34</v>
      </c>
      <c r="K368" s="394" t="s">
        <v>841</v>
      </c>
    </row>
    <row r="369" spans="3:11" ht="15.5">
      <c r="C369" s="387" t="s">
        <v>1259</v>
      </c>
      <c r="D369" s="389" t="s">
        <v>22</v>
      </c>
      <c r="E369" s="390" t="s">
        <v>272</v>
      </c>
      <c r="F369" s="390" t="s">
        <v>20</v>
      </c>
      <c r="G369" s="390" t="s">
        <v>25</v>
      </c>
      <c r="H369" s="393" t="s">
        <v>24</v>
      </c>
      <c r="I369" s="393" t="s">
        <v>23</v>
      </c>
      <c r="J369" s="393" t="s">
        <v>841</v>
      </c>
      <c r="K369" s="394" t="s">
        <v>33</v>
      </c>
    </row>
    <row r="370" spans="3:11" ht="15.5">
      <c r="C370" s="387" t="s">
        <v>1258</v>
      </c>
      <c r="D370" s="389" t="s">
        <v>22</v>
      </c>
      <c r="E370" s="390" t="s">
        <v>272</v>
      </c>
      <c r="F370" s="390" t="s">
        <v>20</v>
      </c>
      <c r="G370" s="390" t="s">
        <v>25</v>
      </c>
      <c r="H370" s="393" t="s">
        <v>24</v>
      </c>
      <c r="I370" s="393" t="s">
        <v>23</v>
      </c>
      <c r="J370" s="393" t="s">
        <v>34</v>
      </c>
      <c r="K370" s="394" t="s">
        <v>32</v>
      </c>
    </row>
    <row r="371" spans="3:11" ht="15.5">
      <c r="C371" s="387" t="s">
        <v>1257</v>
      </c>
      <c r="D371" s="389" t="s">
        <v>22</v>
      </c>
      <c r="E371" s="390" t="s">
        <v>272</v>
      </c>
      <c r="F371" s="390" t="s">
        <v>20</v>
      </c>
      <c r="G371" s="390" t="s">
        <v>25</v>
      </c>
      <c r="H371" s="393" t="s">
        <v>24</v>
      </c>
      <c r="I371" s="393" t="s">
        <v>23</v>
      </c>
      <c r="J371" s="393" t="s">
        <v>32</v>
      </c>
      <c r="K371" s="394" t="s">
        <v>33</v>
      </c>
    </row>
    <row r="372" spans="3:11" ht="15.5">
      <c r="C372" s="387" t="s">
        <v>1256</v>
      </c>
      <c r="D372" s="389" t="s">
        <v>22</v>
      </c>
      <c r="E372" s="390" t="s">
        <v>272</v>
      </c>
      <c r="F372" s="390" t="s">
        <v>20</v>
      </c>
      <c r="G372" s="390" t="s">
        <v>25</v>
      </c>
      <c r="H372" s="393" t="s">
        <v>24</v>
      </c>
      <c r="I372" s="393" t="s">
        <v>23</v>
      </c>
      <c r="J372" s="393" t="s">
        <v>32</v>
      </c>
      <c r="K372" s="394" t="s">
        <v>841</v>
      </c>
    </row>
    <row r="373" spans="3:11" ht="15.5">
      <c r="C373" s="387" t="s">
        <v>1255</v>
      </c>
      <c r="D373" s="389" t="s">
        <v>31</v>
      </c>
      <c r="E373" s="390" t="s">
        <v>272</v>
      </c>
      <c r="F373" s="390" t="s">
        <v>20</v>
      </c>
      <c r="G373" s="390" t="s">
        <v>25</v>
      </c>
      <c r="H373" s="393" t="s">
        <v>24</v>
      </c>
      <c r="I373" s="393" t="s">
        <v>23</v>
      </c>
      <c r="J373" s="393" t="s">
        <v>34</v>
      </c>
      <c r="K373" s="394" t="s">
        <v>22</v>
      </c>
    </row>
    <row r="374" spans="3:11" ht="15.5">
      <c r="C374" s="387" t="s">
        <v>1254</v>
      </c>
      <c r="D374" s="389" t="s">
        <v>31</v>
      </c>
      <c r="E374" s="390" t="s">
        <v>272</v>
      </c>
      <c r="F374" s="390" t="s">
        <v>20</v>
      </c>
      <c r="G374" s="390" t="s">
        <v>25</v>
      </c>
      <c r="H374" s="393" t="s">
        <v>24</v>
      </c>
      <c r="I374" s="393" t="s">
        <v>23</v>
      </c>
      <c r="J374" s="393" t="s">
        <v>22</v>
      </c>
      <c r="K374" s="394" t="s">
        <v>33</v>
      </c>
    </row>
    <row r="375" spans="3:11" ht="15.5">
      <c r="C375" s="387" t="s">
        <v>1253</v>
      </c>
      <c r="D375" s="389" t="s">
        <v>31</v>
      </c>
      <c r="E375" s="390" t="s">
        <v>272</v>
      </c>
      <c r="F375" s="390" t="s">
        <v>20</v>
      </c>
      <c r="G375" s="390" t="s">
        <v>25</v>
      </c>
      <c r="H375" s="393" t="s">
        <v>24</v>
      </c>
      <c r="I375" s="393" t="s">
        <v>23</v>
      </c>
      <c r="J375" s="393" t="s">
        <v>22</v>
      </c>
      <c r="K375" s="394" t="s">
        <v>841</v>
      </c>
    </row>
    <row r="376" spans="3:11" ht="15.5">
      <c r="C376" s="387" t="s">
        <v>1252</v>
      </c>
      <c r="D376" s="389" t="s">
        <v>31</v>
      </c>
      <c r="E376" s="390" t="s">
        <v>272</v>
      </c>
      <c r="F376" s="390" t="s">
        <v>20</v>
      </c>
      <c r="G376" s="390" t="s">
        <v>25</v>
      </c>
      <c r="H376" s="393" t="s">
        <v>24</v>
      </c>
      <c r="I376" s="393" t="s">
        <v>23</v>
      </c>
      <c r="J376" s="393" t="s">
        <v>22</v>
      </c>
      <c r="K376" s="394" t="s">
        <v>32</v>
      </c>
    </row>
    <row r="377" spans="3:11" ht="15.5">
      <c r="C377" s="387" t="s">
        <v>1251</v>
      </c>
      <c r="D377" s="389" t="s">
        <v>32</v>
      </c>
      <c r="E377" s="390" t="s">
        <v>841</v>
      </c>
      <c r="F377" s="390" t="s">
        <v>20</v>
      </c>
      <c r="G377" s="390" t="s">
        <v>21</v>
      </c>
      <c r="H377" s="393" t="s">
        <v>24</v>
      </c>
      <c r="I377" s="393" t="s">
        <v>31</v>
      </c>
      <c r="J377" s="393" t="s">
        <v>34</v>
      </c>
      <c r="K377" s="394" t="s">
        <v>33</v>
      </c>
    </row>
    <row r="378" spans="3:11" ht="15.5">
      <c r="C378" s="387" t="s">
        <v>1250</v>
      </c>
      <c r="D378" s="389" t="s">
        <v>32</v>
      </c>
      <c r="E378" s="390" t="s">
        <v>841</v>
      </c>
      <c r="F378" s="390" t="s">
        <v>20</v>
      </c>
      <c r="G378" s="390" t="s">
        <v>21</v>
      </c>
      <c r="H378" s="393" t="s">
        <v>24</v>
      </c>
      <c r="I378" s="393" t="s">
        <v>272</v>
      </c>
      <c r="J378" s="393" t="s">
        <v>34</v>
      </c>
      <c r="K378" s="394" t="s">
        <v>33</v>
      </c>
    </row>
    <row r="379" spans="3:11" ht="15.5">
      <c r="C379" s="387" t="s">
        <v>1249</v>
      </c>
      <c r="D379" s="389" t="s">
        <v>31</v>
      </c>
      <c r="E379" s="390" t="s">
        <v>841</v>
      </c>
      <c r="F379" s="390" t="s">
        <v>20</v>
      </c>
      <c r="G379" s="390" t="s">
        <v>21</v>
      </c>
      <c r="H379" s="393" t="s">
        <v>24</v>
      </c>
      <c r="I379" s="393" t="s">
        <v>272</v>
      </c>
      <c r="J379" s="393" t="s">
        <v>34</v>
      </c>
      <c r="K379" s="394" t="s">
        <v>33</v>
      </c>
    </row>
    <row r="380" spans="3:11" ht="15.5">
      <c r="C380" s="387" t="s">
        <v>1248</v>
      </c>
      <c r="D380" s="389" t="s">
        <v>32</v>
      </c>
      <c r="E380" s="390" t="s">
        <v>272</v>
      </c>
      <c r="F380" s="390" t="s">
        <v>20</v>
      </c>
      <c r="G380" s="390" t="s">
        <v>21</v>
      </c>
      <c r="H380" s="393" t="s">
        <v>24</v>
      </c>
      <c r="I380" s="393" t="s">
        <v>31</v>
      </c>
      <c r="J380" s="393" t="s">
        <v>34</v>
      </c>
      <c r="K380" s="394" t="s">
        <v>33</v>
      </c>
    </row>
    <row r="381" spans="3:11" ht="15.5">
      <c r="C381" s="387" t="s">
        <v>1247</v>
      </c>
      <c r="D381" s="389" t="s">
        <v>31</v>
      </c>
      <c r="E381" s="390" t="s">
        <v>841</v>
      </c>
      <c r="F381" s="390" t="s">
        <v>20</v>
      </c>
      <c r="G381" s="390" t="s">
        <v>21</v>
      </c>
      <c r="H381" s="393" t="s">
        <v>24</v>
      </c>
      <c r="I381" s="393" t="s">
        <v>272</v>
      </c>
      <c r="J381" s="393" t="s">
        <v>34</v>
      </c>
      <c r="K381" s="394" t="s">
        <v>32</v>
      </c>
    </row>
    <row r="382" spans="3:11" ht="15.5">
      <c r="C382" s="387" t="s">
        <v>1246</v>
      </c>
      <c r="D382" s="389" t="s">
        <v>31</v>
      </c>
      <c r="E382" s="390" t="s">
        <v>841</v>
      </c>
      <c r="F382" s="390" t="s">
        <v>20</v>
      </c>
      <c r="G382" s="390" t="s">
        <v>21</v>
      </c>
      <c r="H382" s="393" t="s">
        <v>24</v>
      </c>
      <c r="I382" s="393" t="s">
        <v>272</v>
      </c>
      <c r="J382" s="393" t="s">
        <v>32</v>
      </c>
      <c r="K382" s="394" t="s">
        <v>33</v>
      </c>
    </row>
    <row r="383" spans="3:11" ht="15.5">
      <c r="C383" s="387" t="s">
        <v>1245</v>
      </c>
      <c r="D383" s="389" t="s">
        <v>32</v>
      </c>
      <c r="E383" s="390" t="s">
        <v>841</v>
      </c>
      <c r="F383" s="390" t="s">
        <v>20</v>
      </c>
      <c r="G383" s="390" t="s">
        <v>21</v>
      </c>
      <c r="H383" s="393" t="s">
        <v>24</v>
      </c>
      <c r="I383" s="393" t="s">
        <v>23</v>
      </c>
      <c r="J383" s="393" t="s">
        <v>34</v>
      </c>
      <c r="K383" s="394" t="s">
        <v>33</v>
      </c>
    </row>
    <row r="384" spans="3:11" ht="15.5">
      <c r="C384" s="387" t="s">
        <v>1244</v>
      </c>
      <c r="D384" s="389" t="s">
        <v>31</v>
      </c>
      <c r="E384" s="390" t="s">
        <v>841</v>
      </c>
      <c r="F384" s="390" t="s">
        <v>20</v>
      </c>
      <c r="G384" s="390" t="s">
        <v>21</v>
      </c>
      <c r="H384" s="393" t="s">
        <v>24</v>
      </c>
      <c r="I384" s="393" t="s">
        <v>23</v>
      </c>
      <c r="J384" s="393" t="s">
        <v>34</v>
      </c>
      <c r="K384" s="394" t="s">
        <v>33</v>
      </c>
    </row>
    <row r="385" spans="3:11" ht="15.5">
      <c r="C385" s="387" t="s">
        <v>1243</v>
      </c>
      <c r="D385" s="389" t="s">
        <v>31</v>
      </c>
      <c r="E385" s="390" t="s">
        <v>32</v>
      </c>
      <c r="F385" s="390" t="s">
        <v>20</v>
      </c>
      <c r="G385" s="390" t="s">
        <v>21</v>
      </c>
      <c r="H385" s="393" t="s">
        <v>24</v>
      </c>
      <c r="I385" s="393" t="s">
        <v>23</v>
      </c>
      <c r="J385" s="393" t="s">
        <v>34</v>
      </c>
      <c r="K385" s="394" t="s">
        <v>33</v>
      </c>
    </row>
    <row r="386" spans="3:11" ht="15.5">
      <c r="C386" s="387" t="s">
        <v>1242</v>
      </c>
      <c r="D386" s="389" t="s">
        <v>31</v>
      </c>
      <c r="E386" s="390" t="s">
        <v>841</v>
      </c>
      <c r="F386" s="390" t="s">
        <v>20</v>
      </c>
      <c r="G386" s="390" t="s">
        <v>21</v>
      </c>
      <c r="H386" s="393" t="s">
        <v>24</v>
      </c>
      <c r="I386" s="393" t="s">
        <v>23</v>
      </c>
      <c r="J386" s="393" t="s">
        <v>34</v>
      </c>
      <c r="K386" s="394" t="s">
        <v>32</v>
      </c>
    </row>
    <row r="387" spans="3:11" ht="15.5">
      <c r="C387" s="387" t="s">
        <v>1241</v>
      </c>
      <c r="D387" s="389" t="s">
        <v>31</v>
      </c>
      <c r="E387" s="390" t="s">
        <v>841</v>
      </c>
      <c r="F387" s="390" t="s">
        <v>20</v>
      </c>
      <c r="G387" s="390" t="s">
        <v>21</v>
      </c>
      <c r="H387" s="393" t="s">
        <v>24</v>
      </c>
      <c r="I387" s="393" t="s">
        <v>23</v>
      </c>
      <c r="J387" s="393" t="s">
        <v>32</v>
      </c>
      <c r="K387" s="394" t="s">
        <v>33</v>
      </c>
    </row>
    <row r="388" spans="3:11" ht="15.5">
      <c r="C388" s="387" t="s">
        <v>1240</v>
      </c>
      <c r="D388" s="389" t="s">
        <v>21</v>
      </c>
      <c r="E388" s="390" t="s">
        <v>841</v>
      </c>
      <c r="F388" s="390" t="s">
        <v>20</v>
      </c>
      <c r="G388" s="390" t="s">
        <v>23</v>
      </c>
      <c r="H388" s="393" t="s">
        <v>24</v>
      </c>
      <c r="I388" s="393" t="s">
        <v>272</v>
      </c>
      <c r="J388" s="393" t="s">
        <v>34</v>
      </c>
      <c r="K388" s="394" t="s">
        <v>33</v>
      </c>
    </row>
    <row r="389" spans="3:11" ht="15.5">
      <c r="C389" s="387" t="s">
        <v>1239</v>
      </c>
      <c r="D389" s="389" t="s">
        <v>32</v>
      </c>
      <c r="E389" s="390" t="s">
        <v>272</v>
      </c>
      <c r="F389" s="390" t="s">
        <v>20</v>
      </c>
      <c r="G389" s="390" t="s">
        <v>21</v>
      </c>
      <c r="H389" s="393" t="s">
        <v>24</v>
      </c>
      <c r="I389" s="393" t="s">
        <v>23</v>
      </c>
      <c r="J389" s="393" t="s">
        <v>34</v>
      </c>
      <c r="K389" s="394" t="s">
        <v>33</v>
      </c>
    </row>
    <row r="390" spans="3:11" ht="15.5">
      <c r="C390" s="387" t="s">
        <v>1238</v>
      </c>
      <c r="D390" s="389" t="s">
        <v>21</v>
      </c>
      <c r="E390" s="390" t="s">
        <v>841</v>
      </c>
      <c r="F390" s="390" t="s">
        <v>20</v>
      </c>
      <c r="G390" s="390" t="s">
        <v>23</v>
      </c>
      <c r="H390" s="393" t="s">
        <v>24</v>
      </c>
      <c r="I390" s="393" t="s">
        <v>272</v>
      </c>
      <c r="J390" s="393" t="s">
        <v>34</v>
      </c>
      <c r="K390" s="394" t="s">
        <v>32</v>
      </c>
    </row>
    <row r="391" spans="3:11" ht="15.5">
      <c r="C391" s="387" t="s">
        <v>1237</v>
      </c>
      <c r="D391" s="389" t="s">
        <v>21</v>
      </c>
      <c r="E391" s="390" t="s">
        <v>841</v>
      </c>
      <c r="F391" s="390" t="s">
        <v>20</v>
      </c>
      <c r="G391" s="390" t="s">
        <v>23</v>
      </c>
      <c r="H391" s="393" t="s">
        <v>24</v>
      </c>
      <c r="I391" s="393" t="s">
        <v>272</v>
      </c>
      <c r="J391" s="393" t="s">
        <v>32</v>
      </c>
      <c r="K391" s="394" t="s">
        <v>33</v>
      </c>
    </row>
    <row r="392" spans="3:11" ht="15.5">
      <c r="C392" s="387" t="s">
        <v>1236</v>
      </c>
      <c r="D392" s="389" t="s">
        <v>31</v>
      </c>
      <c r="E392" s="390" t="s">
        <v>272</v>
      </c>
      <c r="F392" s="390" t="s">
        <v>20</v>
      </c>
      <c r="G392" s="390" t="s">
        <v>21</v>
      </c>
      <c r="H392" s="393" t="s">
        <v>24</v>
      </c>
      <c r="I392" s="393" t="s">
        <v>23</v>
      </c>
      <c r="J392" s="393" t="s">
        <v>34</v>
      </c>
      <c r="K392" s="394" t="s">
        <v>33</v>
      </c>
    </row>
    <row r="393" spans="3:11" ht="15.5">
      <c r="C393" s="387" t="s">
        <v>1235</v>
      </c>
      <c r="D393" s="389" t="s">
        <v>31</v>
      </c>
      <c r="E393" s="390" t="s">
        <v>272</v>
      </c>
      <c r="F393" s="390" t="s">
        <v>20</v>
      </c>
      <c r="G393" s="390" t="s">
        <v>21</v>
      </c>
      <c r="H393" s="393" t="s">
        <v>24</v>
      </c>
      <c r="I393" s="393" t="s">
        <v>23</v>
      </c>
      <c r="J393" s="393" t="s">
        <v>34</v>
      </c>
      <c r="K393" s="394" t="s">
        <v>841</v>
      </c>
    </row>
    <row r="394" spans="3:11" ht="15.5">
      <c r="C394" s="387" t="s">
        <v>1234</v>
      </c>
      <c r="D394" s="389" t="s">
        <v>31</v>
      </c>
      <c r="E394" s="390" t="s">
        <v>272</v>
      </c>
      <c r="F394" s="390" t="s">
        <v>20</v>
      </c>
      <c r="G394" s="390" t="s">
        <v>21</v>
      </c>
      <c r="H394" s="393" t="s">
        <v>24</v>
      </c>
      <c r="I394" s="393" t="s">
        <v>23</v>
      </c>
      <c r="J394" s="393" t="s">
        <v>841</v>
      </c>
      <c r="K394" s="394" t="s">
        <v>33</v>
      </c>
    </row>
    <row r="395" spans="3:11" ht="15.5">
      <c r="C395" s="387" t="s">
        <v>1233</v>
      </c>
      <c r="D395" s="389" t="s">
        <v>31</v>
      </c>
      <c r="E395" s="390" t="s">
        <v>272</v>
      </c>
      <c r="F395" s="390" t="s">
        <v>20</v>
      </c>
      <c r="G395" s="390" t="s">
        <v>21</v>
      </c>
      <c r="H395" s="393" t="s">
        <v>24</v>
      </c>
      <c r="I395" s="393" t="s">
        <v>23</v>
      </c>
      <c r="J395" s="393" t="s">
        <v>34</v>
      </c>
      <c r="K395" s="394" t="s">
        <v>32</v>
      </c>
    </row>
    <row r="396" spans="3:11" ht="15.5">
      <c r="C396" s="387" t="s">
        <v>1232</v>
      </c>
      <c r="D396" s="389" t="s">
        <v>31</v>
      </c>
      <c r="E396" s="390" t="s">
        <v>272</v>
      </c>
      <c r="F396" s="390" t="s">
        <v>20</v>
      </c>
      <c r="G396" s="390" t="s">
        <v>21</v>
      </c>
      <c r="H396" s="393" t="s">
        <v>24</v>
      </c>
      <c r="I396" s="393" t="s">
        <v>23</v>
      </c>
      <c r="J396" s="393" t="s">
        <v>32</v>
      </c>
      <c r="K396" s="394" t="s">
        <v>33</v>
      </c>
    </row>
    <row r="397" spans="3:11" ht="15.5">
      <c r="C397" s="387" t="s">
        <v>1231</v>
      </c>
      <c r="D397" s="389" t="s">
        <v>31</v>
      </c>
      <c r="E397" s="390" t="s">
        <v>272</v>
      </c>
      <c r="F397" s="390" t="s">
        <v>20</v>
      </c>
      <c r="G397" s="390" t="s">
        <v>21</v>
      </c>
      <c r="H397" s="393" t="s">
        <v>24</v>
      </c>
      <c r="I397" s="393" t="s">
        <v>23</v>
      </c>
      <c r="J397" s="393" t="s">
        <v>32</v>
      </c>
      <c r="K397" s="394" t="s">
        <v>841</v>
      </c>
    </row>
    <row r="398" spans="3:11" ht="15.5">
      <c r="C398" s="387" t="s">
        <v>1230</v>
      </c>
      <c r="D398" s="389" t="s">
        <v>22</v>
      </c>
      <c r="E398" s="390" t="s">
        <v>841</v>
      </c>
      <c r="F398" s="390" t="s">
        <v>20</v>
      </c>
      <c r="G398" s="390" t="s">
        <v>24</v>
      </c>
      <c r="H398" s="393" t="s">
        <v>32</v>
      </c>
      <c r="I398" s="393" t="s">
        <v>21</v>
      </c>
      <c r="J398" s="393" t="s">
        <v>34</v>
      </c>
      <c r="K398" s="394" t="s">
        <v>33</v>
      </c>
    </row>
    <row r="399" spans="3:11" ht="15.5">
      <c r="C399" s="387" t="s">
        <v>1229</v>
      </c>
      <c r="D399" s="389" t="s">
        <v>22</v>
      </c>
      <c r="E399" s="390" t="s">
        <v>841</v>
      </c>
      <c r="F399" s="390" t="s">
        <v>20</v>
      </c>
      <c r="G399" s="390" t="s">
        <v>21</v>
      </c>
      <c r="H399" s="393" t="s">
        <v>24</v>
      </c>
      <c r="I399" s="393" t="s">
        <v>31</v>
      </c>
      <c r="J399" s="393" t="s">
        <v>34</v>
      </c>
      <c r="K399" s="394" t="s">
        <v>33</v>
      </c>
    </row>
    <row r="400" spans="3:11" ht="15.5">
      <c r="C400" s="387" t="s">
        <v>1228</v>
      </c>
      <c r="D400" s="389" t="s">
        <v>22</v>
      </c>
      <c r="E400" s="390" t="s">
        <v>32</v>
      </c>
      <c r="F400" s="390" t="s">
        <v>20</v>
      </c>
      <c r="G400" s="390" t="s">
        <v>21</v>
      </c>
      <c r="H400" s="393" t="s">
        <v>24</v>
      </c>
      <c r="I400" s="393" t="s">
        <v>31</v>
      </c>
      <c r="J400" s="393" t="s">
        <v>34</v>
      </c>
      <c r="K400" s="394" t="s">
        <v>33</v>
      </c>
    </row>
    <row r="401" spans="3:11" ht="15.5">
      <c r="C401" s="387" t="s">
        <v>1227</v>
      </c>
      <c r="D401" s="389" t="s">
        <v>22</v>
      </c>
      <c r="E401" s="390" t="s">
        <v>841</v>
      </c>
      <c r="F401" s="390" t="s">
        <v>20</v>
      </c>
      <c r="G401" s="390" t="s">
        <v>21</v>
      </c>
      <c r="H401" s="393" t="s">
        <v>24</v>
      </c>
      <c r="I401" s="393" t="s">
        <v>31</v>
      </c>
      <c r="J401" s="393" t="s">
        <v>34</v>
      </c>
      <c r="K401" s="394" t="s">
        <v>32</v>
      </c>
    </row>
    <row r="402" spans="3:11" ht="15.5">
      <c r="C402" s="387" t="s">
        <v>1226</v>
      </c>
      <c r="D402" s="389" t="s">
        <v>22</v>
      </c>
      <c r="E402" s="390" t="s">
        <v>841</v>
      </c>
      <c r="F402" s="390" t="s">
        <v>20</v>
      </c>
      <c r="G402" s="390" t="s">
        <v>21</v>
      </c>
      <c r="H402" s="393" t="s">
        <v>24</v>
      </c>
      <c r="I402" s="393" t="s">
        <v>31</v>
      </c>
      <c r="J402" s="393" t="s">
        <v>32</v>
      </c>
      <c r="K402" s="394" t="s">
        <v>33</v>
      </c>
    </row>
    <row r="403" spans="3:11" ht="15.5">
      <c r="C403" s="387" t="s">
        <v>1225</v>
      </c>
      <c r="D403" s="389" t="s">
        <v>22</v>
      </c>
      <c r="E403" s="390" t="s">
        <v>841</v>
      </c>
      <c r="F403" s="390" t="s">
        <v>20</v>
      </c>
      <c r="G403" s="390" t="s">
        <v>21</v>
      </c>
      <c r="H403" s="393" t="s">
        <v>24</v>
      </c>
      <c r="I403" s="393" t="s">
        <v>272</v>
      </c>
      <c r="J403" s="393" t="s">
        <v>34</v>
      </c>
      <c r="K403" s="394" t="s">
        <v>33</v>
      </c>
    </row>
    <row r="404" spans="3:11" ht="15.5">
      <c r="C404" s="387" t="s">
        <v>1224</v>
      </c>
      <c r="D404" s="389" t="s">
        <v>22</v>
      </c>
      <c r="E404" s="390" t="s">
        <v>272</v>
      </c>
      <c r="F404" s="390" t="s">
        <v>20</v>
      </c>
      <c r="G404" s="390" t="s">
        <v>24</v>
      </c>
      <c r="H404" s="393" t="s">
        <v>32</v>
      </c>
      <c r="I404" s="393" t="s">
        <v>21</v>
      </c>
      <c r="J404" s="393" t="s">
        <v>34</v>
      </c>
      <c r="K404" s="394" t="s">
        <v>33</v>
      </c>
    </row>
    <row r="405" spans="3:11" ht="15.5">
      <c r="C405" s="387" t="s">
        <v>1223</v>
      </c>
      <c r="D405" s="389" t="s">
        <v>22</v>
      </c>
      <c r="E405" s="390" t="s">
        <v>841</v>
      </c>
      <c r="F405" s="390" t="s">
        <v>20</v>
      </c>
      <c r="G405" s="390" t="s">
        <v>21</v>
      </c>
      <c r="H405" s="393" t="s">
        <v>24</v>
      </c>
      <c r="I405" s="393" t="s">
        <v>272</v>
      </c>
      <c r="J405" s="393" t="s">
        <v>34</v>
      </c>
      <c r="K405" s="394" t="s">
        <v>32</v>
      </c>
    </row>
    <row r="406" spans="3:11" ht="15.5">
      <c r="C406" s="387" t="s">
        <v>1222</v>
      </c>
      <c r="D406" s="389" t="s">
        <v>22</v>
      </c>
      <c r="E406" s="390" t="s">
        <v>841</v>
      </c>
      <c r="F406" s="390" t="s">
        <v>20</v>
      </c>
      <c r="G406" s="390" t="s">
        <v>21</v>
      </c>
      <c r="H406" s="393" t="s">
        <v>24</v>
      </c>
      <c r="I406" s="393" t="s">
        <v>272</v>
      </c>
      <c r="J406" s="393" t="s">
        <v>32</v>
      </c>
      <c r="K406" s="394" t="s">
        <v>33</v>
      </c>
    </row>
    <row r="407" spans="3:11" ht="15.5">
      <c r="C407" s="387" t="s">
        <v>1221</v>
      </c>
      <c r="D407" s="389" t="s">
        <v>22</v>
      </c>
      <c r="E407" s="390" t="s">
        <v>272</v>
      </c>
      <c r="F407" s="390" t="s">
        <v>20</v>
      </c>
      <c r="G407" s="390" t="s">
        <v>21</v>
      </c>
      <c r="H407" s="393" t="s">
        <v>24</v>
      </c>
      <c r="I407" s="393" t="s">
        <v>31</v>
      </c>
      <c r="J407" s="393" t="s">
        <v>34</v>
      </c>
      <c r="K407" s="394" t="s">
        <v>33</v>
      </c>
    </row>
    <row r="408" spans="3:11" ht="15.5">
      <c r="C408" s="387" t="s">
        <v>1220</v>
      </c>
      <c r="D408" s="389" t="s">
        <v>31</v>
      </c>
      <c r="E408" s="390" t="s">
        <v>841</v>
      </c>
      <c r="F408" s="390" t="s">
        <v>20</v>
      </c>
      <c r="G408" s="390" t="s">
        <v>21</v>
      </c>
      <c r="H408" s="393" t="s">
        <v>24</v>
      </c>
      <c r="I408" s="393" t="s">
        <v>272</v>
      </c>
      <c r="J408" s="393" t="s">
        <v>34</v>
      </c>
      <c r="K408" s="394" t="s">
        <v>22</v>
      </c>
    </row>
    <row r="409" spans="3:11" ht="15.5">
      <c r="C409" s="387" t="s">
        <v>1219</v>
      </c>
      <c r="D409" s="389" t="s">
        <v>31</v>
      </c>
      <c r="E409" s="390" t="s">
        <v>841</v>
      </c>
      <c r="F409" s="390" t="s">
        <v>20</v>
      </c>
      <c r="G409" s="390" t="s">
        <v>21</v>
      </c>
      <c r="H409" s="393" t="s">
        <v>24</v>
      </c>
      <c r="I409" s="393" t="s">
        <v>272</v>
      </c>
      <c r="J409" s="393" t="s">
        <v>22</v>
      </c>
      <c r="K409" s="394" t="s">
        <v>33</v>
      </c>
    </row>
    <row r="410" spans="3:11" ht="15.5">
      <c r="C410" s="387" t="s">
        <v>1218</v>
      </c>
      <c r="D410" s="389" t="s">
        <v>22</v>
      </c>
      <c r="E410" s="390" t="s">
        <v>272</v>
      </c>
      <c r="F410" s="390" t="s">
        <v>20</v>
      </c>
      <c r="G410" s="390" t="s">
        <v>21</v>
      </c>
      <c r="H410" s="393" t="s">
        <v>24</v>
      </c>
      <c r="I410" s="393" t="s">
        <v>31</v>
      </c>
      <c r="J410" s="393" t="s">
        <v>34</v>
      </c>
      <c r="K410" s="394" t="s">
        <v>32</v>
      </c>
    </row>
    <row r="411" spans="3:11" ht="15.5">
      <c r="C411" s="387" t="s">
        <v>1217</v>
      </c>
      <c r="D411" s="389" t="s">
        <v>22</v>
      </c>
      <c r="E411" s="390" t="s">
        <v>272</v>
      </c>
      <c r="F411" s="390" t="s">
        <v>20</v>
      </c>
      <c r="G411" s="390" t="s">
        <v>21</v>
      </c>
      <c r="H411" s="393" t="s">
        <v>24</v>
      </c>
      <c r="I411" s="393" t="s">
        <v>31</v>
      </c>
      <c r="J411" s="393" t="s">
        <v>32</v>
      </c>
      <c r="K411" s="394" t="s">
        <v>33</v>
      </c>
    </row>
    <row r="412" spans="3:11" ht="15.5">
      <c r="C412" s="387" t="s">
        <v>1216</v>
      </c>
      <c r="D412" s="389" t="s">
        <v>31</v>
      </c>
      <c r="E412" s="390" t="s">
        <v>841</v>
      </c>
      <c r="F412" s="390" t="s">
        <v>20</v>
      </c>
      <c r="G412" s="390" t="s">
        <v>21</v>
      </c>
      <c r="H412" s="393" t="s">
        <v>24</v>
      </c>
      <c r="I412" s="393" t="s">
        <v>272</v>
      </c>
      <c r="J412" s="393" t="s">
        <v>22</v>
      </c>
      <c r="K412" s="394" t="s">
        <v>32</v>
      </c>
    </row>
    <row r="413" spans="3:11" ht="15.5">
      <c r="C413" s="387" t="s">
        <v>1215</v>
      </c>
      <c r="D413" s="389" t="s">
        <v>22</v>
      </c>
      <c r="E413" s="390" t="s">
        <v>841</v>
      </c>
      <c r="F413" s="390" t="s">
        <v>20</v>
      </c>
      <c r="G413" s="390" t="s">
        <v>21</v>
      </c>
      <c r="H413" s="393" t="s">
        <v>24</v>
      </c>
      <c r="I413" s="393" t="s">
        <v>23</v>
      </c>
      <c r="J413" s="393" t="s">
        <v>34</v>
      </c>
      <c r="K413" s="394" t="s">
        <v>33</v>
      </c>
    </row>
    <row r="414" spans="3:11" ht="15.5">
      <c r="C414" s="387" t="s">
        <v>1214</v>
      </c>
      <c r="D414" s="389" t="s">
        <v>22</v>
      </c>
      <c r="E414" s="390" t="s">
        <v>32</v>
      </c>
      <c r="F414" s="390" t="s">
        <v>20</v>
      </c>
      <c r="G414" s="390" t="s">
        <v>21</v>
      </c>
      <c r="H414" s="393" t="s">
        <v>24</v>
      </c>
      <c r="I414" s="393" t="s">
        <v>23</v>
      </c>
      <c r="J414" s="393" t="s">
        <v>34</v>
      </c>
      <c r="K414" s="394" t="s">
        <v>33</v>
      </c>
    </row>
    <row r="415" spans="3:11" ht="15.5">
      <c r="C415" s="387" t="s">
        <v>1213</v>
      </c>
      <c r="D415" s="389" t="s">
        <v>22</v>
      </c>
      <c r="E415" s="390" t="s">
        <v>841</v>
      </c>
      <c r="F415" s="390" t="s">
        <v>20</v>
      </c>
      <c r="G415" s="390" t="s">
        <v>21</v>
      </c>
      <c r="H415" s="393" t="s">
        <v>24</v>
      </c>
      <c r="I415" s="393" t="s">
        <v>23</v>
      </c>
      <c r="J415" s="393" t="s">
        <v>34</v>
      </c>
      <c r="K415" s="394" t="s">
        <v>32</v>
      </c>
    </row>
    <row r="416" spans="3:11" ht="15.5">
      <c r="C416" s="387" t="s">
        <v>1212</v>
      </c>
      <c r="D416" s="389" t="s">
        <v>22</v>
      </c>
      <c r="E416" s="390" t="s">
        <v>841</v>
      </c>
      <c r="F416" s="390" t="s">
        <v>20</v>
      </c>
      <c r="G416" s="390" t="s">
        <v>21</v>
      </c>
      <c r="H416" s="393" t="s">
        <v>24</v>
      </c>
      <c r="I416" s="393" t="s">
        <v>23</v>
      </c>
      <c r="J416" s="393" t="s">
        <v>32</v>
      </c>
      <c r="K416" s="394" t="s">
        <v>33</v>
      </c>
    </row>
    <row r="417" spans="3:11" ht="15.5">
      <c r="C417" s="387" t="s">
        <v>1211</v>
      </c>
      <c r="D417" s="389" t="s">
        <v>31</v>
      </c>
      <c r="E417" s="390" t="s">
        <v>22</v>
      </c>
      <c r="F417" s="390" t="s">
        <v>20</v>
      </c>
      <c r="G417" s="390" t="s">
        <v>21</v>
      </c>
      <c r="H417" s="393" t="s">
        <v>24</v>
      </c>
      <c r="I417" s="393" t="s">
        <v>23</v>
      </c>
      <c r="J417" s="393" t="s">
        <v>34</v>
      </c>
      <c r="K417" s="394" t="s">
        <v>33</v>
      </c>
    </row>
    <row r="418" spans="3:11" ht="15.5">
      <c r="C418" s="387" t="s">
        <v>1210</v>
      </c>
      <c r="D418" s="389" t="s">
        <v>31</v>
      </c>
      <c r="E418" s="390" t="s">
        <v>841</v>
      </c>
      <c r="F418" s="390" t="s">
        <v>20</v>
      </c>
      <c r="G418" s="390" t="s">
        <v>21</v>
      </c>
      <c r="H418" s="393" t="s">
        <v>24</v>
      </c>
      <c r="I418" s="393" t="s">
        <v>23</v>
      </c>
      <c r="J418" s="393" t="s">
        <v>34</v>
      </c>
      <c r="K418" s="394" t="s">
        <v>22</v>
      </c>
    </row>
    <row r="419" spans="3:11" ht="15.5">
      <c r="C419" s="387" t="s">
        <v>1209</v>
      </c>
      <c r="D419" s="389" t="s">
        <v>31</v>
      </c>
      <c r="E419" s="390" t="s">
        <v>841</v>
      </c>
      <c r="F419" s="390" t="s">
        <v>20</v>
      </c>
      <c r="G419" s="390" t="s">
        <v>21</v>
      </c>
      <c r="H419" s="393" t="s">
        <v>24</v>
      </c>
      <c r="I419" s="393" t="s">
        <v>23</v>
      </c>
      <c r="J419" s="393" t="s">
        <v>22</v>
      </c>
      <c r="K419" s="394" t="s">
        <v>33</v>
      </c>
    </row>
    <row r="420" spans="3:11" ht="15.5">
      <c r="C420" s="387" t="s">
        <v>1208</v>
      </c>
      <c r="D420" s="389" t="s">
        <v>31</v>
      </c>
      <c r="E420" s="390" t="s">
        <v>22</v>
      </c>
      <c r="F420" s="390" t="s">
        <v>20</v>
      </c>
      <c r="G420" s="390" t="s">
        <v>21</v>
      </c>
      <c r="H420" s="393" t="s">
        <v>24</v>
      </c>
      <c r="I420" s="393" t="s">
        <v>23</v>
      </c>
      <c r="J420" s="393" t="s">
        <v>34</v>
      </c>
      <c r="K420" s="394" t="s">
        <v>32</v>
      </c>
    </row>
    <row r="421" spans="3:11" ht="15.5">
      <c r="C421" s="387" t="s">
        <v>1207</v>
      </c>
      <c r="D421" s="389" t="s">
        <v>31</v>
      </c>
      <c r="E421" s="390" t="s">
        <v>22</v>
      </c>
      <c r="F421" s="390" t="s">
        <v>20</v>
      </c>
      <c r="G421" s="390" t="s">
        <v>21</v>
      </c>
      <c r="H421" s="393" t="s">
        <v>24</v>
      </c>
      <c r="I421" s="393" t="s">
        <v>23</v>
      </c>
      <c r="J421" s="393" t="s">
        <v>32</v>
      </c>
      <c r="K421" s="394" t="s">
        <v>33</v>
      </c>
    </row>
    <row r="422" spans="3:11" ht="15.5">
      <c r="C422" s="387" t="s">
        <v>1206</v>
      </c>
      <c r="D422" s="389" t="s">
        <v>31</v>
      </c>
      <c r="E422" s="390" t="s">
        <v>841</v>
      </c>
      <c r="F422" s="390" t="s">
        <v>20</v>
      </c>
      <c r="G422" s="390" t="s">
        <v>21</v>
      </c>
      <c r="H422" s="393" t="s">
        <v>24</v>
      </c>
      <c r="I422" s="393" t="s">
        <v>23</v>
      </c>
      <c r="J422" s="393" t="s">
        <v>22</v>
      </c>
      <c r="K422" s="394" t="s">
        <v>32</v>
      </c>
    </row>
    <row r="423" spans="3:11" ht="15.5">
      <c r="C423" s="387" t="s">
        <v>1205</v>
      </c>
      <c r="D423" s="389" t="s">
        <v>22</v>
      </c>
      <c r="E423" s="390" t="s">
        <v>272</v>
      </c>
      <c r="F423" s="390" t="s">
        <v>20</v>
      </c>
      <c r="G423" s="390" t="s">
        <v>21</v>
      </c>
      <c r="H423" s="393" t="s">
        <v>24</v>
      </c>
      <c r="I423" s="393" t="s">
        <v>23</v>
      </c>
      <c r="J423" s="393" t="s">
        <v>34</v>
      </c>
      <c r="K423" s="394" t="s">
        <v>33</v>
      </c>
    </row>
    <row r="424" spans="3:11" ht="15.5">
      <c r="C424" s="387" t="s">
        <v>1204</v>
      </c>
      <c r="D424" s="389" t="s">
        <v>22</v>
      </c>
      <c r="E424" s="390" t="s">
        <v>272</v>
      </c>
      <c r="F424" s="390" t="s">
        <v>20</v>
      </c>
      <c r="G424" s="390" t="s">
        <v>21</v>
      </c>
      <c r="H424" s="393" t="s">
        <v>24</v>
      </c>
      <c r="I424" s="393" t="s">
        <v>23</v>
      </c>
      <c r="J424" s="393" t="s">
        <v>34</v>
      </c>
      <c r="K424" s="394" t="s">
        <v>841</v>
      </c>
    </row>
    <row r="425" spans="3:11" ht="15.5">
      <c r="C425" s="387" t="s">
        <v>1203</v>
      </c>
      <c r="D425" s="389" t="s">
        <v>22</v>
      </c>
      <c r="E425" s="390" t="s">
        <v>272</v>
      </c>
      <c r="F425" s="390" t="s">
        <v>20</v>
      </c>
      <c r="G425" s="390" t="s">
        <v>21</v>
      </c>
      <c r="H425" s="393" t="s">
        <v>24</v>
      </c>
      <c r="I425" s="393" t="s">
        <v>23</v>
      </c>
      <c r="J425" s="393" t="s">
        <v>841</v>
      </c>
      <c r="K425" s="394" t="s">
        <v>33</v>
      </c>
    </row>
    <row r="426" spans="3:11" ht="15.5">
      <c r="C426" s="387" t="s">
        <v>1202</v>
      </c>
      <c r="D426" s="389" t="s">
        <v>22</v>
      </c>
      <c r="E426" s="390" t="s">
        <v>272</v>
      </c>
      <c r="F426" s="390" t="s">
        <v>20</v>
      </c>
      <c r="G426" s="390" t="s">
        <v>21</v>
      </c>
      <c r="H426" s="393" t="s">
        <v>24</v>
      </c>
      <c r="I426" s="393" t="s">
        <v>23</v>
      </c>
      <c r="J426" s="393" t="s">
        <v>34</v>
      </c>
      <c r="K426" s="394" t="s">
        <v>32</v>
      </c>
    </row>
    <row r="427" spans="3:11" ht="15.5">
      <c r="C427" s="387" t="s">
        <v>1201</v>
      </c>
      <c r="D427" s="389" t="s">
        <v>22</v>
      </c>
      <c r="E427" s="390" t="s">
        <v>272</v>
      </c>
      <c r="F427" s="390" t="s">
        <v>20</v>
      </c>
      <c r="G427" s="390" t="s">
        <v>21</v>
      </c>
      <c r="H427" s="393" t="s">
        <v>24</v>
      </c>
      <c r="I427" s="393" t="s">
        <v>23</v>
      </c>
      <c r="J427" s="393" t="s">
        <v>32</v>
      </c>
      <c r="K427" s="394" t="s">
        <v>33</v>
      </c>
    </row>
    <row r="428" spans="3:11" ht="15.5">
      <c r="C428" s="387" t="s">
        <v>1200</v>
      </c>
      <c r="D428" s="389" t="s">
        <v>22</v>
      </c>
      <c r="E428" s="390" t="s">
        <v>272</v>
      </c>
      <c r="F428" s="390" t="s">
        <v>20</v>
      </c>
      <c r="G428" s="390" t="s">
        <v>21</v>
      </c>
      <c r="H428" s="393" t="s">
        <v>24</v>
      </c>
      <c r="I428" s="393" t="s">
        <v>23</v>
      </c>
      <c r="J428" s="393" t="s">
        <v>32</v>
      </c>
      <c r="K428" s="394" t="s">
        <v>841</v>
      </c>
    </row>
    <row r="429" spans="3:11" ht="15.5">
      <c r="C429" s="387" t="s">
        <v>1199</v>
      </c>
      <c r="D429" s="389" t="s">
        <v>31</v>
      </c>
      <c r="E429" s="390" t="s">
        <v>272</v>
      </c>
      <c r="F429" s="390" t="s">
        <v>20</v>
      </c>
      <c r="G429" s="390" t="s">
        <v>21</v>
      </c>
      <c r="H429" s="393" t="s">
        <v>24</v>
      </c>
      <c r="I429" s="393" t="s">
        <v>23</v>
      </c>
      <c r="J429" s="393" t="s">
        <v>34</v>
      </c>
      <c r="K429" s="394" t="s">
        <v>22</v>
      </c>
    </row>
    <row r="430" spans="3:11" ht="15.5">
      <c r="C430" s="387" t="s">
        <v>1198</v>
      </c>
      <c r="D430" s="389" t="s">
        <v>31</v>
      </c>
      <c r="E430" s="390" t="s">
        <v>272</v>
      </c>
      <c r="F430" s="390" t="s">
        <v>20</v>
      </c>
      <c r="G430" s="390" t="s">
        <v>21</v>
      </c>
      <c r="H430" s="393" t="s">
        <v>24</v>
      </c>
      <c r="I430" s="393" t="s">
        <v>23</v>
      </c>
      <c r="J430" s="393" t="s">
        <v>22</v>
      </c>
      <c r="K430" s="394" t="s">
        <v>33</v>
      </c>
    </row>
    <row r="431" spans="3:11" ht="15.5">
      <c r="C431" s="387" t="s">
        <v>1197</v>
      </c>
      <c r="D431" s="389" t="s">
        <v>31</v>
      </c>
      <c r="E431" s="390" t="s">
        <v>272</v>
      </c>
      <c r="F431" s="390" t="s">
        <v>20</v>
      </c>
      <c r="G431" s="390" t="s">
        <v>21</v>
      </c>
      <c r="H431" s="393" t="s">
        <v>24</v>
      </c>
      <c r="I431" s="393" t="s">
        <v>23</v>
      </c>
      <c r="J431" s="393" t="s">
        <v>22</v>
      </c>
      <c r="K431" s="394" t="s">
        <v>841</v>
      </c>
    </row>
    <row r="432" spans="3:11" ht="15.5">
      <c r="C432" s="387" t="s">
        <v>1196</v>
      </c>
      <c r="D432" s="389" t="s">
        <v>31</v>
      </c>
      <c r="E432" s="390" t="s">
        <v>272</v>
      </c>
      <c r="F432" s="390" t="s">
        <v>20</v>
      </c>
      <c r="G432" s="390" t="s">
        <v>21</v>
      </c>
      <c r="H432" s="393" t="s">
        <v>24</v>
      </c>
      <c r="I432" s="393" t="s">
        <v>23</v>
      </c>
      <c r="J432" s="393" t="s">
        <v>22</v>
      </c>
      <c r="K432" s="394" t="s">
        <v>32</v>
      </c>
    </row>
    <row r="433" spans="3:11" ht="15.5">
      <c r="C433" s="387" t="s">
        <v>1195</v>
      </c>
      <c r="D433" s="389" t="s">
        <v>32</v>
      </c>
      <c r="E433" s="390" t="s">
        <v>841</v>
      </c>
      <c r="F433" s="390" t="s">
        <v>20</v>
      </c>
      <c r="G433" s="390" t="s">
        <v>21</v>
      </c>
      <c r="H433" s="393" t="s">
        <v>24</v>
      </c>
      <c r="I433" s="393" t="s">
        <v>25</v>
      </c>
      <c r="J433" s="393" t="s">
        <v>34</v>
      </c>
      <c r="K433" s="394" t="s">
        <v>33</v>
      </c>
    </row>
    <row r="434" spans="3:11" ht="15.5">
      <c r="C434" s="387" t="s">
        <v>1194</v>
      </c>
      <c r="D434" s="389" t="s">
        <v>31</v>
      </c>
      <c r="E434" s="390" t="s">
        <v>841</v>
      </c>
      <c r="F434" s="390" t="s">
        <v>20</v>
      </c>
      <c r="G434" s="390" t="s">
        <v>21</v>
      </c>
      <c r="H434" s="393" t="s">
        <v>24</v>
      </c>
      <c r="I434" s="393" t="s">
        <v>25</v>
      </c>
      <c r="J434" s="393" t="s">
        <v>34</v>
      </c>
      <c r="K434" s="394" t="s">
        <v>33</v>
      </c>
    </row>
    <row r="435" spans="3:11" ht="15.5">
      <c r="C435" s="387" t="s">
        <v>1193</v>
      </c>
      <c r="D435" s="389" t="s">
        <v>31</v>
      </c>
      <c r="E435" s="390" t="s">
        <v>32</v>
      </c>
      <c r="F435" s="390" t="s">
        <v>20</v>
      </c>
      <c r="G435" s="390" t="s">
        <v>21</v>
      </c>
      <c r="H435" s="393" t="s">
        <v>24</v>
      </c>
      <c r="I435" s="393" t="s">
        <v>25</v>
      </c>
      <c r="J435" s="393" t="s">
        <v>34</v>
      </c>
      <c r="K435" s="394" t="s">
        <v>33</v>
      </c>
    </row>
    <row r="436" spans="3:11" ht="15.5">
      <c r="C436" s="387" t="s">
        <v>1192</v>
      </c>
      <c r="D436" s="389" t="s">
        <v>31</v>
      </c>
      <c r="E436" s="390" t="s">
        <v>841</v>
      </c>
      <c r="F436" s="390" t="s">
        <v>20</v>
      </c>
      <c r="G436" s="390" t="s">
        <v>21</v>
      </c>
      <c r="H436" s="393" t="s">
        <v>24</v>
      </c>
      <c r="I436" s="393" t="s">
        <v>25</v>
      </c>
      <c r="J436" s="393" t="s">
        <v>34</v>
      </c>
      <c r="K436" s="394" t="s">
        <v>32</v>
      </c>
    </row>
    <row r="437" spans="3:11" ht="15.5">
      <c r="C437" s="387" t="s">
        <v>1191</v>
      </c>
      <c r="D437" s="389" t="s">
        <v>31</v>
      </c>
      <c r="E437" s="390" t="s">
        <v>841</v>
      </c>
      <c r="F437" s="390" t="s">
        <v>20</v>
      </c>
      <c r="G437" s="390" t="s">
        <v>21</v>
      </c>
      <c r="H437" s="393" t="s">
        <v>24</v>
      </c>
      <c r="I437" s="393" t="s">
        <v>25</v>
      </c>
      <c r="J437" s="393" t="s">
        <v>32</v>
      </c>
      <c r="K437" s="394" t="s">
        <v>33</v>
      </c>
    </row>
    <row r="438" spans="3:11" ht="15.5">
      <c r="C438" s="387" t="s">
        <v>1190</v>
      </c>
      <c r="D438" s="389" t="s">
        <v>21</v>
      </c>
      <c r="E438" s="390" t="s">
        <v>841</v>
      </c>
      <c r="F438" s="390" t="s">
        <v>20</v>
      </c>
      <c r="G438" s="390" t="s">
        <v>25</v>
      </c>
      <c r="H438" s="393" t="s">
        <v>24</v>
      </c>
      <c r="I438" s="393" t="s">
        <v>272</v>
      </c>
      <c r="J438" s="393" t="s">
        <v>34</v>
      </c>
      <c r="K438" s="394" t="s">
        <v>33</v>
      </c>
    </row>
    <row r="439" spans="3:11" ht="15.5">
      <c r="C439" s="387" t="s">
        <v>1189</v>
      </c>
      <c r="D439" s="389" t="s">
        <v>32</v>
      </c>
      <c r="E439" s="390" t="s">
        <v>272</v>
      </c>
      <c r="F439" s="390" t="s">
        <v>20</v>
      </c>
      <c r="G439" s="390" t="s">
        <v>21</v>
      </c>
      <c r="H439" s="393" t="s">
        <v>24</v>
      </c>
      <c r="I439" s="393" t="s">
        <v>25</v>
      </c>
      <c r="J439" s="393" t="s">
        <v>34</v>
      </c>
      <c r="K439" s="394" t="s">
        <v>33</v>
      </c>
    </row>
    <row r="440" spans="3:11" ht="15.5">
      <c r="C440" s="387" t="s">
        <v>1188</v>
      </c>
      <c r="D440" s="389" t="s">
        <v>21</v>
      </c>
      <c r="E440" s="390" t="s">
        <v>841</v>
      </c>
      <c r="F440" s="390" t="s">
        <v>20</v>
      </c>
      <c r="G440" s="390" t="s">
        <v>25</v>
      </c>
      <c r="H440" s="393" t="s">
        <v>24</v>
      </c>
      <c r="I440" s="393" t="s">
        <v>272</v>
      </c>
      <c r="J440" s="393" t="s">
        <v>34</v>
      </c>
      <c r="K440" s="394" t="s">
        <v>32</v>
      </c>
    </row>
    <row r="441" spans="3:11" ht="15.5">
      <c r="C441" s="387" t="s">
        <v>1187</v>
      </c>
      <c r="D441" s="389" t="s">
        <v>21</v>
      </c>
      <c r="E441" s="390" t="s">
        <v>841</v>
      </c>
      <c r="F441" s="390" t="s">
        <v>20</v>
      </c>
      <c r="G441" s="390" t="s">
        <v>25</v>
      </c>
      <c r="H441" s="393" t="s">
        <v>24</v>
      </c>
      <c r="I441" s="393" t="s">
        <v>272</v>
      </c>
      <c r="J441" s="393" t="s">
        <v>32</v>
      </c>
      <c r="K441" s="394" t="s">
        <v>33</v>
      </c>
    </row>
    <row r="442" spans="3:11" ht="15.5">
      <c r="C442" s="387" t="s">
        <v>1186</v>
      </c>
      <c r="D442" s="389" t="s">
        <v>31</v>
      </c>
      <c r="E442" s="390" t="s">
        <v>272</v>
      </c>
      <c r="F442" s="390" t="s">
        <v>20</v>
      </c>
      <c r="G442" s="390" t="s">
        <v>21</v>
      </c>
      <c r="H442" s="393" t="s">
        <v>24</v>
      </c>
      <c r="I442" s="393" t="s">
        <v>25</v>
      </c>
      <c r="J442" s="393" t="s">
        <v>34</v>
      </c>
      <c r="K442" s="394" t="s">
        <v>33</v>
      </c>
    </row>
    <row r="443" spans="3:11" ht="15.5">
      <c r="C443" s="387" t="s">
        <v>1185</v>
      </c>
      <c r="D443" s="389" t="s">
        <v>31</v>
      </c>
      <c r="E443" s="390" t="s">
        <v>272</v>
      </c>
      <c r="F443" s="390" t="s">
        <v>20</v>
      </c>
      <c r="G443" s="390" t="s">
        <v>21</v>
      </c>
      <c r="H443" s="393" t="s">
        <v>24</v>
      </c>
      <c r="I443" s="393" t="s">
        <v>25</v>
      </c>
      <c r="J443" s="393" t="s">
        <v>34</v>
      </c>
      <c r="K443" s="394" t="s">
        <v>841</v>
      </c>
    </row>
    <row r="444" spans="3:11" ht="15.5">
      <c r="C444" s="387" t="s">
        <v>1184</v>
      </c>
      <c r="D444" s="389" t="s">
        <v>31</v>
      </c>
      <c r="E444" s="390" t="s">
        <v>272</v>
      </c>
      <c r="F444" s="390" t="s">
        <v>20</v>
      </c>
      <c r="G444" s="390" t="s">
        <v>21</v>
      </c>
      <c r="H444" s="393" t="s">
        <v>24</v>
      </c>
      <c r="I444" s="393" t="s">
        <v>25</v>
      </c>
      <c r="J444" s="393" t="s">
        <v>841</v>
      </c>
      <c r="K444" s="394" t="s">
        <v>33</v>
      </c>
    </row>
    <row r="445" spans="3:11" ht="15.5">
      <c r="C445" s="387" t="s">
        <v>1183</v>
      </c>
      <c r="D445" s="389" t="s">
        <v>31</v>
      </c>
      <c r="E445" s="390" t="s">
        <v>272</v>
      </c>
      <c r="F445" s="390" t="s">
        <v>20</v>
      </c>
      <c r="G445" s="390" t="s">
        <v>21</v>
      </c>
      <c r="H445" s="393" t="s">
        <v>24</v>
      </c>
      <c r="I445" s="393" t="s">
        <v>25</v>
      </c>
      <c r="J445" s="393" t="s">
        <v>34</v>
      </c>
      <c r="K445" s="394" t="s">
        <v>32</v>
      </c>
    </row>
    <row r="446" spans="3:11" ht="15.5">
      <c r="C446" s="387" t="s">
        <v>1182</v>
      </c>
      <c r="D446" s="389" t="s">
        <v>31</v>
      </c>
      <c r="E446" s="390" t="s">
        <v>272</v>
      </c>
      <c r="F446" s="390" t="s">
        <v>20</v>
      </c>
      <c r="G446" s="390" t="s">
        <v>21</v>
      </c>
      <c r="H446" s="393" t="s">
        <v>24</v>
      </c>
      <c r="I446" s="393" t="s">
        <v>25</v>
      </c>
      <c r="J446" s="393" t="s">
        <v>32</v>
      </c>
      <c r="K446" s="394" t="s">
        <v>33</v>
      </c>
    </row>
    <row r="447" spans="3:11" ht="15.5">
      <c r="C447" s="387" t="s">
        <v>1181</v>
      </c>
      <c r="D447" s="389" t="s">
        <v>31</v>
      </c>
      <c r="E447" s="390" t="s">
        <v>272</v>
      </c>
      <c r="F447" s="390" t="s">
        <v>20</v>
      </c>
      <c r="G447" s="390" t="s">
        <v>21</v>
      </c>
      <c r="H447" s="393" t="s">
        <v>24</v>
      </c>
      <c r="I447" s="393" t="s">
        <v>25</v>
      </c>
      <c r="J447" s="393" t="s">
        <v>32</v>
      </c>
      <c r="K447" s="394" t="s">
        <v>841</v>
      </c>
    </row>
    <row r="448" spans="3:11" ht="15.5">
      <c r="C448" s="387" t="s">
        <v>1180</v>
      </c>
      <c r="D448" s="389" t="s">
        <v>21</v>
      </c>
      <c r="E448" s="390" t="s">
        <v>841</v>
      </c>
      <c r="F448" s="390" t="s">
        <v>20</v>
      </c>
      <c r="G448" s="390" t="s">
        <v>25</v>
      </c>
      <c r="H448" s="393" t="s">
        <v>24</v>
      </c>
      <c r="I448" s="393" t="s">
        <v>23</v>
      </c>
      <c r="J448" s="393" t="s">
        <v>34</v>
      </c>
      <c r="K448" s="394" t="s">
        <v>33</v>
      </c>
    </row>
    <row r="449" spans="3:11" ht="15.5">
      <c r="C449" s="387" t="s">
        <v>1179</v>
      </c>
      <c r="D449" s="389" t="s">
        <v>21</v>
      </c>
      <c r="E449" s="390" t="s">
        <v>32</v>
      </c>
      <c r="F449" s="390" t="s">
        <v>20</v>
      </c>
      <c r="G449" s="390" t="s">
        <v>25</v>
      </c>
      <c r="H449" s="393" t="s">
        <v>24</v>
      </c>
      <c r="I449" s="393" t="s">
        <v>23</v>
      </c>
      <c r="J449" s="393" t="s">
        <v>34</v>
      </c>
      <c r="K449" s="394" t="s">
        <v>33</v>
      </c>
    </row>
    <row r="450" spans="3:11" ht="15.5">
      <c r="C450" s="387" t="s">
        <v>1178</v>
      </c>
      <c r="D450" s="389" t="s">
        <v>21</v>
      </c>
      <c r="E450" s="390" t="s">
        <v>841</v>
      </c>
      <c r="F450" s="390" t="s">
        <v>20</v>
      </c>
      <c r="G450" s="390" t="s">
        <v>25</v>
      </c>
      <c r="H450" s="393" t="s">
        <v>24</v>
      </c>
      <c r="I450" s="393" t="s">
        <v>23</v>
      </c>
      <c r="J450" s="393" t="s">
        <v>34</v>
      </c>
      <c r="K450" s="394" t="s">
        <v>32</v>
      </c>
    </row>
    <row r="451" spans="3:11" ht="15.5">
      <c r="C451" s="387" t="s">
        <v>1177</v>
      </c>
      <c r="D451" s="389" t="s">
        <v>21</v>
      </c>
      <c r="E451" s="390" t="s">
        <v>841</v>
      </c>
      <c r="F451" s="390" t="s">
        <v>20</v>
      </c>
      <c r="G451" s="390" t="s">
        <v>25</v>
      </c>
      <c r="H451" s="393" t="s">
        <v>24</v>
      </c>
      <c r="I451" s="393" t="s">
        <v>23</v>
      </c>
      <c r="J451" s="393" t="s">
        <v>32</v>
      </c>
      <c r="K451" s="394" t="s">
        <v>33</v>
      </c>
    </row>
    <row r="452" spans="3:11" ht="15.5">
      <c r="C452" s="387" t="s">
        <v>1176</v>
      </c>
      <c r="D452" s="389" t="s">
        <v>31</v>
      </c>
      <c r="E452" s="390" t="s">
        <v>23</v>
      </c>
      <c r="F452" s="390" t="s">
        <v>20</v>
      </c>
      <c r="G452" s="390" t="s">
        <v>21</v>
      </c>
      <c r="H452" s="393" t="s">
        <v>24</v>
      </c>
      <c r="I452" s="393" t="s">
        <v>25</v>
      </c>
      <c r="J452" s="393" t="s">
        <v>34</v>
      </c>
      <c r="K452" s="394" t="s">
        <v>33</v>
      </c>
    </row>
    <row r="453" spans="3:11" ht="15.5">
      <c r="C453" s="387" t="s">
        <v>1175</v>
      </c>
      <c r="D453" s="389" t="s">
        <v>21</v>
      </c>
      <c r="E453" s="390" t="s">
        <v>841</v>
      </c>
      <c r="F453" s="390" t="s">
        <v>20</v>
      </c>
      <c r="G453" s="390" t="s">
        <v>25</v>
      </c>
      <c r="H453" s="393" t="s">
        <v>24</v>
      </c>
      <c r="I453" s="393" t="s">
        <v>23</v>
      </c>
      <c r="J453" s="393" t="s">
        <v>34</v>
      </c>
      <c r="K453" s="394" t="s">
        <v>31</v>
      </c>
    </row>
    <row r="454" spans="3:11" ht="15.5">
      <c r="C454" s="387" t="s">
        <v>1174</v>
      </c>
      <c r="D454" s="389" t="s">
        <v>31</v>
      </c>
      <c r="E454" s="390" t="s">
        <v>841</v>
      </c>
      <c r="F454" s="390" t="s">
        <v>20</v>
      </c>
      <c r="G454" s="390" t="s">
        <v>21</v>
      </c>
      <c r="H454" s="393" t="s">
        <v>24</v>
      </c>
      <c r="I454" s="393" t="s">
        <v>23</v>
      </c>
      <c r="J454" s="393" t="s">
        <v>25</v>
      </c>
      <c r="K454" s="394" t="s">
        <v>33</v>
      </c>
    </row>
    <row r="455" spans="3:11" ht="15.5">
      <c r="C455" s="387" t="s">
        <v>1173</v>
      </c>
      <c r="D455" s="389" t="s">
        <v>31</v>
      </c>
      <c r="E455" s="390" t="s">
        <v>23</v>
      </c>
      <c r="F455" s="390" t="s">
        <v>20</v>
      </c>
      <c r="G455" s="390" t="s">
        <v>21</v>
      </c>
      <c r="H455" s="393" t="s">
        <v>24</v>
      </c>
      <c r="I455" s="393" t="s">
        <v>25</v>
      </c>
      <c r="J455" s="393" t="s">
        <v>34</v>
      </c>
      <c r="K455" s="394" t="s">
        <v>32</v>
      </c>
    </row>
    <row r="456" spans="3:11" ht="15.5">
      <c r="C456" s="387" t="s">
        <v>1172</v>
      </c>
      <c r="D456" s="389" t="s">
        <v>31</v>
      </c>
      <c r="E456" s="390" t="s">
        <v>23</v>
      </c>
      <c r="F456" s="390" t="s">
        <v>20</v>
      </c>
      <c r="G456" s="390" t="s">
        <v>21</v>
      </c>
      <c r="H456" s="393" t="s">
        <v>24</v>
      </c>
      <c r="I456" s="393" t="s">
        <v>25</v>
      </c>
      <c r="J456" s="393" t="s">
        <v>32</v>
      </c>
      <c r="K456" s="394" t="s">
        <v>33</v>
      </c>
    </row>
    <row r="457" spans="3:11" ht="15.5">
      <c r="C457" s="387" t="s">
        <v>1171</v>
      </c>
      <c r="D457" s="389" t="s">
        <v>31</v>
      </c>
      <c r="E457" s="390" t="s">
        <v>841</v>
      </c>
      <c r="F457" s="390" t="s">
        <v>20</v>
      </c>
      <c r="G457" s="390" t="s">
        <v>21</v>
      </c>
      <c r="H457" s="393" t="s">
        <v>24</v>
      </c>
      <c r="I457" s="393" t="s">
        <v>23</v>
      </c>
      <c r="J457" s="393" t="s">
        <v>25</v>
      </c>
      <c r="K457" s="394" t="s">
        <v>32</v>
      </c>
    </row>
    <row r="458" spans="3:11" ht="15.5">
      <c r="C458" s="387" t="s">
        <v>1170</v>
      </c>
      <c r="D458" s="389" t="s">
        <v>21</v>
      </c>
      <c r="E458" s="390" t="s">
        <v>272</v>
      </c>
      <c r="F458" s="390" t="s">
        <v>20</v>
      </c>
      <c r="G458" s="390" t="s">
        <v>25</v>
      </c>
      <c r="H458" s="393" t="s">
        <v>24</v>
      </c>
      <c r="I458" s="393" t="s">
        <v>23</v>
      </c>
      <c r="J458" s="393" t="s">
        <v>34</v>
      </c>
      <c r="K458" s="394" t="s">
        <v>33</v>
      </c>
    </row>
    <row r="459" spans="3:11" ht="15.5">
      <c r="C459" s="387" t="s">
        <v>1169</v>
      </c>
      <c r="D459" s="389" t="s">
        <v>21</v>
      </c>
      <c r="E459" s="390" t="s">
        <v>272</v>
      </c>
      <c r="F459" s="390" t="s">
        <v>20</v>
      </c>
      <c r="G459" s="390" t="s">
        <v>25</v>
      </c>
      <c r="H459" s="393" t="s">
        <v>24</v>
      </c>
      <c r="I459" s="393" t="s">
        <v>23</v>
      </c>
      <c r="J459" s="393" t="s">
        <v>34</v>
      </c>
      <c r="K459" s="394" t="s">
        <v>841</v>
      </c>
    </row>
    <row r="460" spans="3:11" ht="15.5">
      <c r="C460" s="387" t="s">
        <v>1168</v>
      </c>
      <c r="D460" s="389" t="s">
        <v>21</v>
      </c>
      <c r="E460" s="390" t="s">
        <v>272</v>
      </c>
      <c r="F460" s="390" t="s">
        <v>20</v>
      </c>
      <c r="G460" s="390" t="s">
        <v>25</v>
      </c>
      <c r="H460" s="393" t="s">
        <v>24</v>
      </c>
      <c r="I460" s="393" t="s">
        <v>23</v>
      </c>
      <c r="J460" s="393" t="s">
        <v>841</v>
      </c>
      <c r="K460" s="394" t="s">
        <v>33</v>
      </c>
    </row>
    <row r="461" spans="3:11" ht="15.5">
      <c r="C461" s="387" t="s">
        <v>1167</v>
      </c>
      <c r="D461" s="389" t="s">
        <v>21</v>
      </c>
      <c r="E461" s="390" t="s">
        <v>272</v>
      </c>
      <c r="F461" s="390" t="s">
        <v>20</v>
      </c>
      <c r="G461" s="390" t="s">
        <v>25</v>
      </c>
      <c r="H461" s="393" t="s">
        <v>24</v>
      </c>
      <c r="I461" s="393" t="s">
        <v>23</v>
      </c>
      <c r="J461" s="393" t="s">
        <v>34</v>
      </c>
      <c r="K461" s="394" t="s">
        <v>32</v>
      </c>
    </row>
    <row r="462" spans="3:11" ht="15.5">
      <c r="C462" s="387" t="s">
        <v>1166</v>
      </c>
      <c r="D462" s="389" t="s">
        <v>21</v>
      </c>
      <c r="E462" s="390" t="s">
        <v>272</v>
      </c>
      <c r="F462" s="390" t="s">
        <v>20</v>
      </c>
      <c r="G462" s="390" t="s">
        <v>25</v>
      </c>
      <c r="H462" s="393" t="s">
        <v>24</v>
      </c>
      <c r="I462" s="393" t="s">
        <v>23</v>
      </c>
      <c r="J462" s="393" t="s">
        <v>32</v>
      </c>
      <c r="K462" s="394" t="s">
        <v>33</v>
      </c>
    </row>
    <row r="463" spans="3:11" ht="15.5">
      <c r="C463" s="387" t="s">
        <v>1165</v>
      </c>
      <c r="D463" s="389" t="s">
        <v>21</v>
      </c>
      <c r="E463" s="390" t="s">
        <v>272</v>
      </c>
      <c r="F463" s="390" t="s">
        <v>20</v>
      </c>
      <c r="G463" s="390" t="s">
        <v>25</v>
      </c>
      <c r="H463" s="393" t="s">
        <v>24</v>
      </c>
      <c r="I463" s="393" t="s">
        <v>23</v>
      </c>
      <c r="J463" s="393" t="s">
        <v>32</v>
      </c>
      <c r="K463" s="394" t="s">
        <v>841</v>
      </c>
    </row>
    <row r="464" spans="3:11" ht="15.5">
      <c r="C464" s="387" t="s">
        <v>1164</v>
      </c>
      <c r="D464" s="389" t="s">
        <v>21</v>
      </c>
      <c r="E464" s="390" t="s">
        <v>272</v>
      </c>
      <c r="F464" s="390" t="s">
        <v>20</v>
      </c>
      <c r="G464" s="390" t="s">
        <v>25</v>
      </c>
      <c r="H464" s="393" t="s">
        <v>24</v>
      </c>
      <c r="I464" s="393" t="s">
        <v>23</v>
      </c>
      <c r="J464" s="393" t="s">
        <v>34</v>
      </c>
      <c r="K464" s="394" t="s">
        <v>31</v>
      </c>
    </row>
    <row r="465" spans="3:11" ht="15.5">
      <c r="C465" s="387" t="s">
        <v>1163</v>
      </c>
      <c r="D465" s="389" t="s">
        <v>31</v>
      </c>
      <c r="E465" s="390" t="s">
        <v>272</v>
      </c>
      <c r="F465" s="390" t="s">
        <v>20</v>
      </c>
      <c r="G465" s="390" t="s">
        <v>21</v>
      </c>
      <c r="H465" s="393" t="s">
        <v>24</v>
      </c>
      <c r="I465" s="393" t="s">
        <v>23</v>
      </c>
      <c r="J465" s="393" t="s">
        <v>25</v>
      </c>
      <c r="K465" s="394" t="s">
        <v>33</v>
      </c>
    </row>
    <row r="466" spans="3:11" ht="15.5">
      <c r="C466" s="387" t="s">
        <v>1162</v>
      </c>
      <c r="D466" s="389" t="s">
        <v>31</v>
      </c>
      <c r="E466" s="390" t="s">
        <v>272</v>
      </c>
      <c r="F466" s="390" t="s">
        <v>20</v>
      </c>
      <c r="G466" s="390" t="s">
        <v>21</v>
      </c>
      <c r="H466" s="393" t="s">
        <v>24</v>
      </c>
      <c r="I466" s="393" t="s">
        <v>23</v>
      </c>
      <c r="J466" s="393" t="s">
        <v>25</v>
      </c>
      <c r="K466" s="394" t="s">
        <v>841</v>
      </c>
    </row>
    <row r="467" spans="3:11" ht="15.5">
      <c r="C467" s="387" t="s">
        <v>1161</v>
      </c>
      <c r="D467" s="389" t="s">
        <v>31</v>
      </c>
      <c r="E467" s="390" t="s">
        <v>272</v>
      </c>
      <c r="F467" s="390" t="s">
        <v>20</v>
      </c>
      <c r="G467" s="390" t="s">
        <v>21</v>
      </c>
      <c r="H467" s="393" t="s">
        <v>24</v>
      </c>
      <c r="I467" s="393" t="s">
        <v>23</v>
      </c>
      <c r="J467" s="393" t="s">
        <v>25</v>
      </c>
      <c r="K467" s="394" t="s">
        <v>32</v>
      </c>
    </row>
    <row r="468" spans="3:11" ht="15.5">
      <c r="C468" s="387" t="s">
        <v>1160</v>
      </c>
      <c r="D468" s="389" t="s">
        <v>22</v>
      </c>
      <c r="E468" s="390" t="s">
        <v>841</v>
      </c>
      <c r="F468" s="390" t="s">
        <v>20</v>
      </c>
      <c r="G468" s="390" t="s">
        <v>21</v>
      </c>
      <c r="H468" s="393" t="s">
        <v>24</v>
      </c>
      <c r="I468" s="393" t="s">
        <v>25</v>
      </c>
      <c r="J468" s="393" t="s">
        <v>34</v>
      </c>
      <c r="K468" s="394" t="s">
        <v>33</v>
      </c>
    </row>
    <row r="469" spans="3:11" ht="15.5">
      <c r="C469" s="387" t="s">
        <v>1159</v>
      </c>
      <c r="D469" s="389" t="s">
        <v>22</v>
      </c>
      <c r="E469" s="390" t="s">
        <v>32</v>
      </c>
      <c r="F469" s="390" t="s">
        <v>20</v>
      </c>
      <c r="G469" s="390" t="s">
        <v>21</v>
      </c>
      <c r="H469" s="393" t="s">
        <v>24</v>
      </c>
      <c r="I469" s="393" t="s">
        <v>25</v>
      </c>
      <c r="J469" s="393" t="s">
        <v>34</v>
      </c>
      <c r="K469" s="394" t="s">
        <v>33</v>
      </c>
    </row>
    <row r="470" spans="3:11" ht="15.5">
      <c r="C470" s="387" t="s">
        <v>1158</v>
      </c>
      <c r="D470" s="389" t="s">
        <v>22</v>
      </c>
      <c r="E470" s="390" t="s">
        <v>841</v>
      </c>
      <c r="F470" s="390" t="s">
        <v>20</v>
      </c>
      <c r="G470" s="390" t="s">
        <v>21</v>
      </c>
      <c r="H470" s="393" t="s">
        <v>24</v>
      </c>
      <c r="I470" s="393" t="s">
        <v>25</v>
      </c>
      <c r="J470" s="393" t="s">
        <v>34</v>
      </c>
      <c r="K470" s="394" t="s">
        <v>32</v>
      </c>
    </row>
    <row r="471" spans="3:11" ht="15.5">
      <c r="C471" s="387" t="s">
        <v>1157</v>
      </c>
      <c r="D471" s="389" t="s">
        <v>22</v>
      </c>
      <c r="E471" s="390" t="s">
        <v>841</v>
      </c>
      <c r="F471" s="390" t="s">
        <v>20</v>
      </c>
      <c r="G471" s="390" t="s">
        <v>21</v>
      </c>
      <c r="H471" s="393" t="s">
        <v>24</v>
      </c>
      <c r="I471" s="393" t="s">
        <v>25</v>
      </c>
      <c r="J471" s="393" t="s">
        <v>32</v>
      </c>
      <c r="K471" s="394" t="s">
        <v>33</v>
      </c>
    </row>
    <row r="472" spans="3:11" ht="15.5">
      <c r="C472" s="387" t="s">
        <v>1156</v>
      </c>
      <c r="D472" s="389" t="s">
        <v>31</v>
      </c>
      <c r="E472" s="390" t="s">
        <v>22</v>
      </c>
      <c r="F472" s="390" t="s">
        <v>20</v>
      </c>
      <c r="G472" s="390" t="s">
        <v>21</v>
      </c>
      <c r="H472" s="393" t="s">
        <v>24</v>
      </c>
      <c r="I472" s="393" t="s">
        <v>25</v>
      </c>
      <c r="J472" s="393" t="s">
        <v>34</v>
      </c>
      <c r="K472" s="394" t="s">
        <v>33</v>
      </c>
    </row>
    <row r="473" spans="3:11" ht="15.5">
      <c r="C473" s="387" t="s">
        <v>1155</v>
      </c>
      <c r="D473" s="389" t="s">
        <v>31</v>
      </c>
      <c r="E473" s="390" t="s">
        <v>841</v>
      </c>
      <c r="F473" s="390" t="s">
        <v>20</v>
      </c>
      <c r="G473" s="390" t="s">
        <v>21</v>
      </c>
      <c r="H473" s="393" t="s">
        <v>24</v>
      </c>
      <c r="I473" s="393" t="s">
        <v>25</v>
      </c>
      <c r="J473" s="393" t="s">
        <v>34</v>
      </c>
      <c r="K473" s="394" t="s">
        <v>22</v>
      </c>
    </row>
    <row r="474" spans="3:11" ht="15.5">
      <c r="C474" s="387" t="s">
        <v>1154</v>
      </c>
      <c r="D474" s="389" t="s">
        <v>31</v>
      </c>
      <c r="E474" s="390" t="s">
        <v>841</v>
      </c>
      <c r="F474" s="390" t="s">
        <v>20</v>
      </c>
      <c r="G474" s="390" t="s">
        <v>21</v>
      </c>
      <c r="H474" s="393" t="s">
        <v>24</v>
      </c>
      <c r="I474" s="393" t="s">
        <v>25</v>
      </c>
      <c r="J474" s="393" t="s">
        <v>22</v>
      </c>
      <c r="K474" s="394" t="s">
        <v>33</v>
      </c>
    </row>
    <row r="475" spans="3:11" ht="15.5">
      <c r="C475" s="387" t="s">
        <v>1153</v>
      </c>
      <c r="D475" s="389" t="s">
        <v>31</v>
      </c>
      <c r="E475" s="390" t="s">
        <v>22</v>
      </c>
      <c r="F475" s="390" t="s">
        <v>20</v>
      </c>
      <c r="G475" s="390" t="s">
        <v>21</v>
      </c>
      <c r="H475" s="393" t="s">
        <v>24</v>
      </c>
      <c r="I475" s="393" t="s">
        <v>25</v>
      </c>
      <c r="J475" s="393" t="s">
        <v>34</v>
      </c>
      <c r="K475" s="394" t="s">
        <v>32</v>
      </c>
    </row>
    <row r="476" spans="3:11" ht="15.5">
      <c r="C476" s="387" t="s">
        <v>1152</v>
      </c>
      <c r="D476" s="389" t="s">
        <v>31</v>
      </c>
      <c r="E476" s="390" t="s">
        <v>22</v>
      </c>
      <c r="F476" s="390" t="s">
        <v>20</v>
      </c>
      <c r="G476" s="390" t="s">
        <v>21</v>
      </c>
      <c r="H476" s="393" t="s">
        <v>24</v>
      </c>
      <c r="I476" s="393" t="s">
        <v>25</v>
      </c>
      <c r="J476" s="393" t="s">
        <v>32</v>
      </c>
      <c r="K476" s="394" t="s">
        <v>33</v>
      </c>
    </row>
    <row r="477" spans="3:11" ht="15.5">
      <c r="C477" s="387" t="s">
        <v>1151</v>
      </c>
      <c r="D477" s="389" t="s">
        <v>31</v>
      </c>
      <c r="E477" s="390" t="s">
        <v>841</v>
      </c>
      <c r="F477" s="390" t="s">
        <v>20</v>
      </c>
      <c r="G477" s="390" t="s">
        <v>21</v>
      </c>
      <c r="H477" s="393" t="s">
        <v>24</v>
      </c>
      <c r="I477" s="393" t="s">
        <v>25</v>
      </c>
      <c r="J477" s="393" t="s">
        <v>22</v>
      </c>
      <c r="K477" s="394" t="s">
        <v>32</v>
      </c>
    </row>
    <row r="478" spans="3:11" ht="15.5">
      <c r="C478" s="387" t="s">
        <v>1150</v>
      </c>
      <c r="D478" s="389" t="s">
        <v>22</v>
      </c>
      <c r="E478" s="390" t="s">
        <v>272</v>
      </c>
      <c r="F478" s="390" t="s">
        <v>20</v>
      </c>
      <c r="G478" s="390" t="s">
        <v>21</v>
      </c>
      <c r="H478" s="393" t="s">
        <v>24</v>
      </c>
      <c r="I478" s="393" t="s">
        <v>25</v>
      </c>
      <c r="J478" s="393" t="s">
        <v>34</v>
      </c>
      <c r="K478" s="394" t="s">
        <v>33</v>
      </c>
    </row>
    <row r="479" spans="3:11" ht="15.5">
      <c r="C479" s="387" t="s">
        <v>1149</v>
      </c>
      <c r="D479" s="389" t="s">
        <v>22</v>
      </c>
      <c r="E479" s="390" t="s">
        <v>272</v>
      </c>
      <c r="F479" s="390" t="s">
        <v>20</v>
      </c>
      <c r="G479" s="390" t="s">
        <v>21</v>
      </c>
      <c r="H479" s="393" t="s">
        <v>24</v>
      </c>
      <c r="I479" s="393" t="s">
        <v>25</v>
      </c>
      <c r="J479" s="393" t="s">
        <v>34</v>
      </c>
      <c r="K479" s="394" t="s">
        <v>841</v>
      </c>
    </row>
    <row r="480" spans="3:11" ht="15.5">
      <c r="C480" s="387" t="s">
        <v>1148</v>
      </c>
      <c r="D480" s="389" t="s">
        <v>22</v>
      </c>
      <c r="E480" s="390" t="s">
        <v>272</v>
      </c>
      <c r="F480" s="390" t="s">
        <v>20</v>
      </c>
      <c r="G480" s="390" t="s">
        <v>21</v>
      </c>
      <c r="H480" s="393" t="s">
        <v>24</v>
      </c>
      <c r="I480" s="393" t="s">
        <v>25</v>
      </c>
      <c r="J480" s="393" t="s">
        <v>841</v>
      </c>
      <c r="K480" s="394" t="s">
        <v>33</v>
      </c>
    </row>
    <row r="481" spans="3:11" ht="15.5">
      <c r="C481" s="387" t="s">
        <v>1147</v>
      </c>
      <c r="D481" s="389" t="s">
        <v>22</v>
      </c>
      <c r="E481" s="390" t="s">
        <v>272</v>
      </c>
      <c r="F481" s="390" t="s">
        <v>20</v>
      </c>
      <c r="G481" s="390" t="s">
        <v>21</v>
      </c>
      <c r="H481" s="393" t="s">
        <v>24</v>
      </c>
      <c r="I481" s="393" t="s">
        <v>25</v>
      </c>
      <c r="J481" s="393" t="s">
        <v>34</v>
      </c>
      <c r="K481" s="394" t="s">
        <v>32</v>
      </c>
    </row>
    <row r="482" spans="3:11" ht="15.5">
      <c r="C482" s="387" t="s">
        <v>1146</v>
      </c>
      <c r="D482" s="389" t="s">
        <v>22</v>
      </c>
      <c r="E482" s="390" t="s">
        <v>272</v>
      </c>
      <c r="F482" s="390" t="s">
        <v>20</v>
      </c>
      <c r="G482" s="390" t="s">
        <v>21</v>
      </c>
      <c r="H482" s="393" t="s">
        <v>24</v>
      </c>
      <c r="I482" s="393" t="s">
        <v>25</v>
      </c>
      <c r="J482" s="393" t="s">
        <v>32</v>
      </c>
      <c r="K482" s="394" t="s">
        <v>33</v>
      </c>
    </row>
    <row r="483" spans="3:11" ht="15.5">
      <c r="C483" s="387" t="s">
        <v>1145</v>
      </c>
      <c r="D483" s="389" t="s">
        <v>22</v>
      </c>
      <c r="E483" s="390" t="s">
        <v>272</v>
      </c>
      <c r="F483" s="390" t="s">
        <v>20</v>
      </c>
      <c r="G483" s="390" t="s">
        <v>21</v>
      </c>
      <c r="H483" s="393" t="s">
        <v>24</v>
      </c>
      <c r="I483" s="393" t="s">
        <v>25</v>
      </c>
      <c r="J483" s="393" t="s">
        <v>32</v>
      </c>
      <c r="K483" s="394" t="s">
        <v>841</v>
      </c>
    </row>
    <row r="484" spans="3:11" ht="15.5">
      <c r="C484" s="387" t="s">
        <v>1144</v>
      </c>
      <c r="D484" s="389" t="s">
        <v>31</v>
      </c>
      <c r="E484" s="390" t="s">
        <v>272</v>
      </c>
      <c r="F484" s="390" t="s">
        <v>20</v>
      </c>
      <c r="G484" s="390" t="s">
        <v>21</v>
      </c>
      <c r="H484" s="393" t="s">
        <v>24</v>
      </c>
      <c r="I484" s="393" t="s">
        <v>25</v>
      </c>
      <c r="J484" s="393" t="s">
        <v>34</v>
      </c>
      <c r="K484" s="394" t="s">
        <v>22</v>
      </c>
    </row>
    <row r="485" spans="3:11" ht="15.5">
      <c r="C485" s="387" t="s">
        <v>1143</v>
      </c>
      <c r="D485" s="389" t="s">
        <v>31</v>
      </c>
      <c r="E485" s="390" t="s">
        <v>272</v>
      </c>
      <c r="F485" s="390" t="s">
        <v>20</v>
      </c>
      <c r="G485" s="390" t="s">
        <v>21</v>
      </c>
      <c r="H485" s="393" t="s">
        <v>24</v>
      </c>
      <c r="I485" s="393" t="s">
        <v>25</v>
      </c>
      <c r="J485" s="393" t="s">
        <v>22</v>
      </c>
      <c r="K485" s="394" t="s">
        <v>33</v>
      </c>
    </row>
    <row r="486" spans="3:11" ht="15.5">
      <c r="C486" s="387" t="s">
        <v>1142</v>
      </c>
      <c r="D486" s="389" t="s">
        <v>31</v>
      </c>
      <c r="E486" s="390" t="s">
        <v>272</v>
      </c>
      <c r="F486" s="390" t="s">
        <v>20</v>
      </c>
      <c r="G486" s="390" t="s">
        <v>21</v>
      </c>
      <c r="H486" s="393" t="s">
        <v>24</v>
      </c>
      <c r="I486" s="393" t="s">
        <v>25</v>
      </c>
      <c r="J486" s="393" t="s">
        <v>22</v>
      </c>
      <c r="K486" s="394" t="s">
        <v>841</v>
      </c>
    </row>
    <row r="487" spans="3:11" ht="15.5">
      <c r="C487" s="387" t="s">
        <v>1141</v>
      </c>
      <c r="D487" s="389" t="s">
        <v>31</v>
      </c>
      <c r="E487" s="390" t="s">
        <v>272</v>
      </c>
      <c r="F487" s="390" t="s">
        <v>20</v>
      </c>
      <c r="G487" s="390" t="s">
        <v>21</v>
      </c>
      <c r="H487" s="393" t="s">
        <v>24</v>
      </c>
      <c r="I487" s="393" t="s">
        <v>25</v>
      </c>
      <c r="J487" s="393" t="s">
        <v>22</v>
      </c>
      <c r="K487" s="394" t="s">
        <v>32</v>
      </c>
    </row>
    <row r="488" spans="3:11" ht="15.5">
      <c r="C488" s="387" t="s">
        <v>1140</v>
      </c>
      <c r="D488" s="389" t="s">
        <v>21</v>
      </c>
      <c r="E488" s="390" t="s">
        <v>22</v>
      </c>
      <c r="F488" s="390" t="s">
        <v>20</v>
      </c>
      <c r="G488" s="390" t="s">
        <v>25</v>
      </c>
      <c r="H488" s="393" t="s">
        <v>24</v>
      </c>
      <c r="I488" s="393" t="s">
        <v>23</v>
      </c>
      <c r="J488" s="393" t="s">
        <v>34</v>
      </c>
      <c r="K488" s="394" t="s">
        <v>33</v>
      </c>
    </row>
    <row r="489" spans="3:11" ht="15.5">
      <c r="C489" s="387" t="s">
        <v>1139</v>
      </c>
      <c r="D489" s="389" t="s">
        <v>21</v>
      </c>
      <c r="E489" s="390" t="s">
        <v>841</v>
      </c>
      <c r="F489" s="390" t="s">
        <v>20</v>
      </c>
      <c r="G489" s="390" t="s">
        <v>25</v>
      </c>
      <c r="H489" s="393" t="s">
        <v>24</v>
      </c>
      <c r="I489" s="393" t="s">
        <v>23</v>
      </c>
      <c r="J489" s="393" t="s">
        <v>34</v>
      </c>
      <c r="K489" s="394" t="s">
        <v>22</v>
      </c>
    </row>
    <row r="490" spans="3:11" ht="15.5">
      <c r="C490" s="387" t="s">
        <v>1138</v>
      </c>
      <c r="D490" s="389" t="s">
        <v>21</v>
      </c>
      <c r="E490" s="390" t="s">
        <v>841</v>
      </c>
      <c r="F490" s="390" t="s">
        <v>20</v>
      </c>
      <c r="G490" s="390" t="s">
        <v>25</v>
      </c>
      <c r="H490" s="393" t="s">
        <v>24</v>
      </c>
      <c r="I490" s="393" t="s">
        <v>23</v>
      </c>
      <c r="J490" s="393" t="s">
        <v>22</v>
      </c>
      <c r="K490" s="394" t="s">
        <v>33</v>
      </c>
    </row>
    <row r="491" spans="3:11" ht="15.5">
      <c r="C491" s="387" t="s">
        <v>1137</v>
      </c>
      <c r="D491" s="389" t="s">
        <v>21</v>
      </c>
      <c r="E491" s="390" t="s">
        <v>22</v>
      </c>
      <c r="F491" s="390" t="s">
        <v>20</v>
      </c>
      <c r="G491" s="390" t="s">
        <v>25</v>
      </c>
      <c r="H491" s="393" t="s">
        <v>24</v>
      </c>
      <c r="I491" s="393" t="s">
        <v>23</v>
      </c>
      <c r="J491" s="393" t="s">
        <v>34</v>
      </c>
      <c r="K491" s="394" t="s">
        <v>32</v>
      </c>
    </row>
    <row r="492" spans="3:11" ht="15.5">
      <c r="C492" s="387" t="s">
        <v>1136</v>
      </c>
      <c r="D492" s="389" t="s">
        <v>21</v>
      </c>
      <c r="E492" s="390" t="s">
        <v>22</v>
      </c>
      <c r="F492" s="390" t="s">
        <v>20</v>
      </c>
      <c r="G492" s="390" t="s">
        <v>25</v>
      </c>
      <c r="H492" s="393" t="s">
        <v>24</v>
      </c>
      <c r="I492" s="393" t="s">
        <v>23</v>
      </c>
      <c r="J492" s="393" t="s">
        <v>32</v>
      </c>
      <c r="K492" s="394" t="s">
        <v>33</v>
      </c>
    </row>
    <row r="493" spans="3:11" ht="15.5">
      <c r="C493" s="387" t="s">
        <v>1135</v>
      </c>
      <c r="D493" s="389" t="s">
        <v>21</v>
      </c>
      <c r="E493" s="390" t="s">
        <v>841</v>
      </c>
      <c r="F493" s="390" t="s">
        <v>20</v>
      </c>
      <c r="G493" s="390" t="s">
        <v>25</v>
      </c>
      <c r="H493" s="393" t="s">
        <v>24</v>
      </c>
      <c r="I493" s="393" t="s">
        <v>23</v>
      </c>
      <c r="J493" s="393" t="s">
        <v>22</v>
      </c>
      <c r="K493" s="394" t="s">
        <v>32</v>
      </c>
    </row>
    <row r="494" spans="3:11" ht="15.5">
      <c r="C494" s="387" t="s">
        <v>1134</v>
      </c>
      <c r="D494" s="389" t="s">
        <v>31</v>
      </c>
      <c r="E494" s="390" t="s">
        <v>23</v>
      </c>
      <c r="F494" s="390" t="s">
        <v>20</v>
      </c>
      <c r="G494" s="390" t="s">
        <v>21</v>
      </c>
      <c r="H494" s="393" t="s">
        <v>24</v>
      </c>
      <c r="I494" s="393" t="s">
        <v>25</v>
      </c>
      <c r="J494" s="393" t="s">
        <v>34</v>
      </c>
      <c r="K494" s="394" t="s">
        <v>22</v>
      </c>
    </row>
    <row r="495" spans="3:11" ht="15.5">
      <c r="C495" s="387" t="s">
        <v>1133</v>
      </c>
      <c r="D495" s="389" t="s">
        <v>31</v>
      </c>
      <c r="E495" s="390" t="s">
        <v>22</v>
      </c>
      <c r="F495" s="390" t="s">
        <v>20</v>
      </c>
      <c r="G495" s="390" t="s">
        <v>21</v>
      </c>
      <c r="H495" s="393" t="s">
        <v>24</v>
      </c>
      <c r="I495" s="393" t="s">
        <v>23</v>
      </c>
      <c r="J495" s="393" t="s">
        <v>25</v>
      </c>
      <c r="K495" s="394" t="s">
        <v>33</v>
      </c>
    </row>
    <row r="496" spans="3:11" ht="15.5">
      <c r="C496" s="387" t="s">
        <v>1132</v>
      </c>
      <c r="D496" s="389" t="s">
        <v>31</v>
      </c>
      <c r="E496" s="390" t="s">
        <v>841</v>
      </c>
      <c r="F496" s="390" t="s">
        <v>20</v>
      </c>
      <c r="G496" s="390" t="s">
        <v>21</v>
      </c>
      <c r="H496" s="393" t="s">
        <v>24</v>
      </c>
      <c r="I496" s="393" t="s">
        <v>23</v>
      </c>
      <c r="J496" s="393" t="s">
        <v>25</v>
      </c>
      <c r="K496" s="394" t="s">
        <v>22</v>
      </c>
    </row>
    <row r="497" spans="3:11" ht="15.5">
      <c r="C497" s="387" t="s">
        <v>1131</v>
      </c>
      <c r="D497" s="389" t="s">
        <v>31</v>
      </c>
      <c r="E497" s="390" t="s">
        <v>22</v>
      </c>
      <c r="F497" s="390" t="s">
        <v>20</v>
      </c>
      <c r="G497" s="390" t="s">
        <v>21</v>
      </c>
      <c r="H497" s="393" t="s">
        <v>24</v>
      </c>
      <c r="I497" s="393" t="s">
        <v>23</v>
      </c>
      <c r="J497" s="393" t="s">
        <v>25</v>
      </c>
      <c r="K497" s="394" t="s">
        <v>32</v>
      </c>
    </row>
    <row r="498" spans="3:11" ht="15.5">
      <c r="C498" s="387" t="s">
        <v>1130</v>
      </c>
      <c r="D498" s="389" t="s">
        <v>21</v>
      </c>
      <c r="E498" s="390" t="s">
        <v>272</v>
      </c>
      <c r="F498" s="390" t="s">
        <v>20</v>
      </c>
      <c r="G498" s="390" t="s">
        <v>25</v>
      </c>
      <c r="H498" s="393" t="s">
        <v>24</v>
      </c>
      <c r="I498" s="393" t="s">
        <v>23</v>
      </c>
      <c r="J498" s="393" t="s">
        <v>34</v>
      </c>
      <c r="K498" s="394" t="s">
        <v>22</v>
      </c>
    </row>
    <row r="499" spans="3:11" ht="15.5">
      <c r="C499" s="387" t="s">
        <v>1129</v>
      </c>
      <c r="D499" s="389" t="s">
        <v>21</v>
      </c>
      <c r="E499" s="390" t="s">
        <v>272</v>
      </c>
      <c r="F499" s="390" t="s">
        <v>20</v>
      </c>
      <c r="G499" s="390" t="s">
        <v>25</v>
      </c>
      <c r="H499" s="393" t="s">
        <v>24</v>
      </c>
      <c r="I499" s="393" t="s">
        <v>23</v>
      </c>
      <c r="J499" s="393" t="s">
        <v>22</v>
      </c>
      <c r="K499" s="394" t="s">
        <v>33</v>
      </c>
    </row>
    <row r="500" spans="3:11" ht="15.5">
      <c r="C500" s="387" t="s">
        <v>1128</v>
      </c>
      <c r="D500" s="389" t="s">
        <v>21</v>
      </c>
      <c r="E500" s="390" t="s">
        <v>272</v>
      </c>
      <c r="F500" s="390" t="s">
        <v>20</v>
      </c>
      <c r="G500" s="390" t="s">
        <v>25</v>
      </c>
      <c r="H500" s="393" t="s">
        <v>24</v>
      </c>
      <c r="I500" s="393" t="s">
        <v>23</v>
      </c>
      <c r="J500" s="393" t="s">
        <v>22</v>
      </c>
      <c r="K500" s="394" t="s">
        <v>841</v>
      </c>
    </row>
    <row r="501" spans="3:11" ht="15.5">
      <c r="C501" s="387" t="s">
        <v>1127</v>
      </c>
      <c r="D501" s="389" t="s">
        <v>21</v>
      </c>
      <c r="E501" s="390" t="s">
        <v>272</v>
      </c>
      <c r="F501" s="390" t="s">
        <v>20</v>
      </c>
      <c r="G501" s="390" t="s">
        <v>25</v>
      </c>
      <c r="H501" s="393" t="s">
        <v>24</v>
      </c>
      <c r="I501" s="393" t="s">
        <v>23</v>
      </c>
      <c r="J501" s="393" t="s">
        <v>22</v>
      </c>
      <c r="K501" s="394" t="s">
        <v>32</v>
      </c>
    </row>
    <row r="502" spans="3:11" ht="16" thickBot="1">
      <c r="C502" s="388" t="s">
        <v>1126</v>
      </c>
      <c r="D502" s="395" t="s">
        <v>31</v>
      </c>
      <c r="E502" s="396" t="s">
        <v>272</v>
      </c>
      <c r="F502" s="396" t="s">
        <v>20</v>
      </c>
      <c r="G502" s="396" t="s">
        <v>21</v>
      </c>
      <c r="H502" s="397" t="s">
        <v>24</v>
      </c>
      <c r="I502" s="397" t="s">
        <v>23</v>
      </c>
      <c r="J502" s="397" t="s">
        <v>25</v>
      </c>
      <c r="K502" s="398" t="s">
        <v>22</v>
      </c>
    </row>
    <row r="503" spans="3:11" ht="15" thickTop="1">
      <c r="H503" s="22"/>
      <c r="I503" s="22"/>
      <c r="J503" s="22"/>
      <c r="K503" s="22"/>
    </row>
    <row r="504" spans="3:11"/>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0.90625" defaultRowHeight="14.5"/>
  <cols>
    <col min="1" max="1" width="7.81640625" customWidth="1"/>
    <col min="2" max="2" width="4.453125" style="22" customWidth="1"/>
    <col min="3" max="3" width="14" customWidth="1"/>
    <col min="4" max="4" width="7.81640625" customWidth="1"/>
    <col min="5" max="5" width="7.7265625" customWidth="1"/>
    <col min="6" max="6" width="5" customWidth="1"/>
    <col min="7" max="7" width="5.453125" customWidth="1"/>
    <col min="8" max="8" width="19.1796875" customWidth="1"/>
    <col min="10" max="10" width="7.81640625" customWidth="1"/>
    <col min="13" max="13" width="4.26953125" customWidth="1"/>
    <col min="14" max="14" width="4.54296875" customWidth="1"/>
    <col min="15" max="15" width="0.81640625" customWidth="1"/>
    <col min="16" max="16" width="3.54296875" customWidth="1"/>
    <col min="18" max="18" width="13" customWidth="1"/>
  </cols>
  <sheetData>
    <row r="1" spans="1:19" ht="23.5">
      <c r="C1" s="49" t="str">
        <f>Language!$E$180</f>
        <v>Derde van de groep</v>
      </c>
    </row>
    <row r="2" spans="1:19" ht="38.25" customHeight="1"/>
    <row r="3" spans="1:19">
      <c r="A3" s="401"/>
      <c r="B3" s="28"/>
      <c r="C3" s="27"/>
      <c r="D3" s="400" t="s">
        <v>1106</v>
      </c>
      <c r="E3" s="400" t="s">
        <v>190</v>
      </c>
      <c r="F3" s="400" t="s">
        <v>1107</v>
      </c>
      <c r="G3" s="400" t="s">
        <v>1108</v>
      </c>
      <c r="H3" s="400" t="s">
        <v>191</v>
      </c>
      <c r="I3" s="400" t="s">
        <v>198</v>
      </c>
      <c r="J3" s="400"/>
      <c r="K3" s="400" t="s">
        <v>30</v>
      </c>
      <c r="L3" s="400" t="s">
        <v>1723</v>
      </c>
    </row>
    <row r="4" spans="1:19">
      <c r="A4" s="22"/>
      <c r="B4" s="450" t="s">
        <v>26</v>
      </c>
      <c r="C4" s="451" t="str">
        <f>CalcA!$D$24</f>
        <v>Rep. Korea</v>
      </c>
      <c r="D4" s="450">
        <f>CalcA!$E$24</f>
        <v>0</v>
      </c>
      <c r="E4" s="450">
        <f>F4-G4</f>
        <v>0</v>
      </c>
      <c r="F4" s="450">
        <f>CalcA!$F$24</f>
        <v>0</v>
      </c>
      <c r="G4" s="450">
        <f>CalcA!$G$24</f>
        <v>0</v>
      </c>
      <c r="H4" s="452">
        <f t="shared" ref="H4:H15" si="0">$D4*$S$4+($E4+$S$5/2)*$S$5+$F4*$S$6+$K4*$S$7+$L4*$S$8</f>
        <v>500000.00007499999</v>
      </c>
      <c r="I4" s="450" t="s">
        <v>24</v>
      </c>
      <c r="J4" s="450"/>
      <c r="K4" s="450">
        <f>SUMIFS(FairPlay!$C$6:$C$27,FairPlay!$B$6:$B$27,$C4)+SUMIFS(FairPlay!$F$6:$F$27,FairPlay!$E$6:$E$27,$C4)+SUMIFS(FairPlay!$I$6:$I$27,FairPlay!$H$6:$H$27,$C4)</f>
        <v>0</v>
      </c>
      <c r="L4" s="450">
        <f>100-INDEX(Language!$D$5:$D$100,MATCH($C4,Language!$E$5:$E$100,0),1)</f>
        <v>75</v>
      </c>
      <c r="R4" s="719" t="s">
        <v>1796</v>
      </c>
      <c r="S4" s="720">
        <v>1000000</v>
      </c>
    </row>
    <row r="5" spans="1:19">
      <c r="A5" s="22"/>
      <c r="B5" s="22" t="s">
        <v>27</v>
      </c>
      <c r="C5" t="str">
        <f>CalcB!$D$24</f>
        <v>Qatar</v>
      </c>
      <c r="D5" s="22">
        <f>CalcB!$E$24</f>
        <v>0</v>
      </c>
      <c r="E5" s="22">
        <f t="shared" ref="E5:E15" si="1">F5-G5</f>
        <v>0</v>
      </c>
      <c r="F5" s="22">
        <f>CalcB!$F$24</f>
        <v>0</v>
      </c>
      <c r="G5" s="22">
        <f>CalcB!$G$24</f>
        <v>0</v>
      </c>
      <c r="H5" s="453">
        <f t="shared" si="0"/>
        <v>500000.00004499999</v>
      </c>
      <c r="I5" s="22" t="s">
        <v>20</v>
      </c>
      <c r="J5" s="22"/>
      <c r="K5" s="22">
        <f>SUMIFS(FairPlay!$C$6:$C$27,FairPlay!$B$6:$B$27,$C5)+SUMIFS(FairPlay!$F$6:$F$27,FairPlay!$E$6:$E$27,$C5)+SUMIFS(FairPlay!$I$6:$I$27,FairPlay!$H$6:$H$27,$C5)</f>
        <v>0</v>
      </c>
      <c r="L5" s="22">
        <f>100-INDEX(Language!$D$5:$D$100,MATCH($C5,Language!$E$5:$E$100,0),1)</f>
        <v>45</v>
      </c>
      <c r="R5" s="721" t="s">
        <v>1795</v>
      </c>
      <c r="S5" s="722">
        <v>1000</v>
      </c>
    </row>
    <row r="6" spans="1:19">
      <c r="A6" s="22"/>
      <c r="B6" s="22" t="s">
        <v>28</v>
      </c>
      <c r="C6" t="str">
        <f>CalcC!$D$24</f>
        <v>Haïti</v>
      </c>
      <c r="D6" s="22">
        <f>CalcC!$E$24</f>
        <v>0</v>
      </c>
      <c r="E6" s="22">
        <f t="shared" si="1"/>
        <v>0</v>
      </c>
      <c r="F6" s="22">
        <f>CalcC!$F$24</f>
        <v>0</v>
      </c>
      <c r="G6" s="22">
        <f>CalcC!$G$24</f>
        <v>0</v>
      </c>
      <c r="H6" s="453">
        <f t="shared" si="0"/>
        <v>500000.00001700001</v>
      </c>
      <c r="I6" s="22" t="s">
        <v>21</v>
      </c>
      <c r="J6" s="22"/>
      <c r="K6" s="22">
        <f>SUMIFS(FairPlay!$C$6:$C$27,FairPlay!$B$6:$B$27,$C6)+SUMIFS(FairPlay!$F$6:$F$27,FairPlay!$E$6:$E$27,$C6)+SUMIFS(FairPlay!$I$6:$I$27,FairPlay!$H$6:$H$27,$C6)</f>
        <v>0</v>
      </c>
      <c r="L6" s="22">
        <f>100-INDEX(Language!$D$5:$D$100,MATCH($C6,Language!$E$5:$E$100,0),1)</f>
        <v>17</v>
      </c>
      <c r="R6" s="721" t="s">
        <v>1794</v>
      </c>
      <c r="S6" s="722">
        <v>1</v>
      </c>
    </row>
    <row r="7" spans="1:19">
      <c r="A7" s="22"/>
      <c r="B7" s="22" t="s">
        <v>29</v>
      </c>
      <c r="C7" t="str">
        <f>CalcD!$D$24</f>
        <v>Australië</v>
      </c>
      <c r="D7" s="22">
        <f>CalcD!$E$24</f>
        <v>0</v>
      </c>
      <c r="E7" s="22">
        <f t="shared" si="1"/>
        <v>0</v>
      </c>
      <c r="F7" s="22">
        <f>CalcD!$F$24</f>
        <v>0</v>
      </c>
      <c r="G7" s="22">
        <f>CalcD!$G$24</f>
        <v>0</v>
      </c>
      <c r="H7" s="453">
        <f t="shared" si="0"/>
        <v>500000.00007299997</v>
      </c>
      <c r="I7" s="22" t="s">
        <v>25</v>
      </c>
      <c r="J7" s="22"/>
      <c r="K7" s="22">
        <f>SUMIFS(FairPlay!$C$6:$C$27,FairPlay!$B$6:$B$27,$C7)+SUMIFS(FairPlay!$F$6:$F$27,FairPlay!$E$6:$E$27,$C7)+SUMIFS(FairPlay!$I$6:$I$27,FairPlay!$H$6:$H$27,$C7)</f>
        <v>0</v>
      </c>
      <c r="L7" s="22">
        <f>100-INDEX(Language!$D$5:$D$100,MATCH($C7,Language!$E$5:$E$100,0),1)</f>
        <v>73</v>
      </c>
      <c r="R7" s="721" t="s">
        <v>1797</v>
      </c>
      <c r="S7" s="722">
        <v>1E-3</v>
      </c>
    </row>
    <row r="8" spans="1:19">
      <c r="A8" s="22"/>
      <c r="B8" s="22" t="s">
        <v>1110</v>
      </c>
      <c r="C8" t="str">
        <f>CalcE!$D$24</f>
        <v>Ivoorkust</v>
      </c>
      <c r="D8" s="22">
        <f>CalcE!$E$24</f>
        <v>0</v>
      </c>
      <c r="E8" s="22">
        <f t="shared" si="1"/>
        <v>0</v>
      </c>
      <c r="F8" s="22">
        <f>CalcE!$F$24</f>
        <v>0</v>
      </c>
      <c r="G8" s="22">
        <f>CalcE!$G$24</f>
        <v>0</v>
      </c>
      <c r="H8" s="453">
        <f t="shared" si="0"/>
        <v>500000.00006599998</v>
      </c>
      <c r="I8" s="22" t="s">
        <v>22</v>
      </c>
      <c r="J8" s="22"/>
      <c r="K8" s="22">
        <f>SUMIFS(FairPlay!$C$6:$C$27,FairPlay!$B$6:$B$27,$C8)+SUMIFS(FairPlay!$F$6:$F$27,FairPlay!$E$6:$E$27,$C8)+SUMIFS(FairPlay!$I$6:$I$27,FairPlay!$H$6:$H$27,$C8)</f>
        <v>0</v>
      </c>
      <c r="L8" s="22">
        <f>100-INDEX(Language!$D$5:$D$100,MATCH($C8,Language!$E$5:$E$100,0),1)</f>
        <v>66</v>
      </c>
      <c r="R8" s="723" t="s">
        <v>1798</v>
      </c>
      <c r="S8" s="724">
        <v>9.9999999999999995E-7</v>
      </c>
    </row>
    <row r="9" spans="1:19">
      <c r="A9" s="22"/>
      <c r="B9" s="22" t="s">
        <v>1111</v>
      </c>
      <c r="C9" t="str">
        <f>CalcF!$D$24</f>
        <v>Zweden</v>
      </c>
      <c r="D9" s="22">
        <f>CalcF!$E$24</f>
        <v>0</v>
      </c>
      <c r="E9" s="22">
        <f t="shared" si="1"/>
        <v>0</v>
      </c>
      <c r="F9" s="22">
        <f>CalcF!$F$24</f>
        <v>0</v>
      </c>
      <c r="G9" s="22">
        <f>CalcF!$G$24</f>
        <v>0</v>
      </c>
      <c r="H9" s="453">
        <f t="shared" si="0"/>
        <v>500000.00006200001</v>
      </c>
      <c r="I9" s="22" t="s">
        <v>23</v>
      </c>
      <c r="J9" s="22"/>
      <c r="K9" s="22">
        <f>SUMIFS(FairPlay!$C$6:$C$27,FairPlay!$B$6:$B$27,$C9)+SUMIFS(FairPlay!$F$6:$F$27,FairPlay!$E$6:$E$27,$C9)+SUMIFS(FairPlay!$I$6:$I$27,FairPlay!$H$6:$H$27,$C9)</f>
        <v>0</v>
      </c>
      <c r="L9" s="22">
        <f>100-INDEX(Language!$D$5:$D$100,MATCH($C9,Language!$E$5:$E$100,0),1)</f>
        <v>62</v>
      </c>
    </row>
    <row r="10" spans="1:19">
      <c r="A10" s="22"/>
      <c r="B10" s="22" t="s">
        <v>1114</v>
      </c>
      <c r="C10" t="str">
        <f>CalcG!$D$24</f>
        <v>IR Iran</v>
      </c>
      <c r="D10" s="22">
        <f>CalcG!$E$24</f>
        <v>0</v>
      </c>
      <c r="E10" s="22">
        <f t="shared" si="1"/>
        <v>0</v>
      </c>
      <c r="F10" s="22">
        <f>CalcG!$F$24</f>
        <v>0</v>
      </c>
      <c r="G10" s="22">
        <f>CalcG!$G$24</f>
        <v>0</v>
      </c>
      <c r="H10" s="453">
        <f t="shared" si="0"/>
        <v>500000.00007900002</v>
      </c>
      <c r="I10" s="22" t="s">
        <v>272</v>
      </c>
      <c r="J10" s="22"/>
      <c r="K10" s="22">
        <f>SUMIFS(FairPlay!$C$6:$C$27,FairPlay!$B$6:$B$27,$C10)+SUMIFS(FairPlay!$F$6:$F$27,FairPlay!$E$6:$E$27,$C10)+SUMIFS(FairPlay!$I$6:$I$27,FairPlay!$H$6:$H$27,$C10)</f>
        <v>0</v>
      </c>
      <c r="L10" s="22">
        <f>100-INDEX(Language!$D$5:$D$100,MATCH($C10,Language!$E$5:$E$100,0),1)</f>
        <v>79</v>
      </c>
    </row>
    <row r="11" spans="1:19">
      <c r="A11" s="22"/>
      <c r="B11" s="22" t="s">
        <v>1115</v>
      </c>
      <c r="C11" t="str">
        <f>CalcH!$D$24</f>
        <v>Saoedi-Arabië</v>
      </c>
      <c r="D11" s="22">
        <f>CalcH!$E$24</f>
        <v>0</v>
      </c>
      <c r="E11" s="22">
        <f t="shared" si="1"/>
        <v>0</v>
      </c>
      <c r="F11" s="22">
        <f>CalcH!$F$24</f>
        <v>0</v>
      </c>
      <c r="G11" s="22">
        <f>CalcH!$G$24</f>
        <v>0</v>
      </c>
      <c r="H11" s="453">
        <f t="shared" si="0"/>
        <v>500000.00003900001</v>
      </c>
      <c r="I11" s="22" t="s">
        <v>31</v>
      </c>
      <c r="J11" s="22"/>
      <c r="K11" s="22">
        <f>SUMIFS(FairPlay!$C$6:$C$27,FairPlay!$B$6:$B$27,$C11)+SUMIFS(FairPlay!$F$6:$F$27,FairPlay!$E$6:$E$27,$C11)+SUMIFS(FairPlay!$I$6:$I$27,FairPlay!$H$6:$H$27,$C11)</f>
        <v>0</v>
      </c>
      <c r="L11" s="22">
        <f>100-INDEX(Language!$D$5:$D$100,MATCH($C11,Language!$E$5:$E$100,0),1)</f>
        <v>39</v>
      </c>
    </row>
    <row r="12" spans="1:19">
      <c r="A12" s="22"/>
      <c r="B12" s="22" t="s">
        <v>1116</v>
      </c>
      <c r="C12" t="str">
        <f>CalcI!$D$24</f>
        <v>Irak</v>
      </c>
      <c r="D12" s="22">
        <f>CalcI!$E$24</f>
        <v>0</v>
      </c>
      <c r="E12" s="22">
        <f t="shared" si="1"/>
        <v>0</v>
      </c>
      <c r="F12" s="22">
        <f>CalcI!$F$24</f>
        <v>0</v>
      </c>
      <c r="G12" s="22">
        <f>CalcI!$G$24</f>
        <v>0</v>
      </c>
      <c r="H12" s="453">
        <f t="shared" si="0"/>
        <v>500000.00004299998</v>
      </c>
      <c r="I12" s="22" t="s">
        <v>32</v>
      </c>
      <c r="J12" s="22"/>
      <c r="K12" s="22">
        <f>SUMIFS(FairPlay!$C$6:$C$27,FairPlay!$B$6:$B$27,$C12)+SUMIFS(FairPlay!$F$6:$F$27,FairPlay!$E$6:$E$27,$C12)+SUMIFS(FairPlay!$I$6:$I$27,FairPlay!$H$6:$H$27,$C12)</f>
        <v>0</v>
      </c>
      <c r="L12" s="22">
        <f>100-INDEX(Language!$D$5:$D$100,MATCH($C12,Language!$E$5:$E$100,0),1)</f>
        <v>43</v>
      </c>
    </row>
    <row r="13" spans="1:19">
      <c r="A13" s="22"/>
      <c r="B13" s="22" t="s">
        <v>1117</v>
      </c>
      <c r="C13" t="str">
        <f>CalcJ!$D$24</f>
        <v>Oostenrijk</v>
      </c>
      <c r="D13" s="22">
        <f>CalcJ!$E$24</f>
        <v>0</v>
      </c>
      <c r="E13" s="22">
        <f t="shared" si="1"/>
        <v>0</v>
      </c>
      <c r="F13" s="22">
        <f>CalcJ!$F$24</f>
        <v>0</v>
      </c>
      <c r="G13" s="22">
        <f>CalcJ!$G$24</f>
        <v>0</v>
      </c>
      <c r="H13" s="453">
        <f t="shared" si="0"/>
        <v>500000.000076</v>
      </c>
      <c r="I13" s="22" t="s">
        <v>841</v>
      </c>
      <c r="J13" s="22"/>
      <c r="K13" s="22">
        <f>SUMIFS(FairPlay!$C$6:$C$27,FairPlay!$B$6:$B$27,$C13)+SUMIFS(FairPlay!$F$6:$F$27,FairPlay!$E$6:$E$27,$C13)+SUMIFS(FairPlay!$I$6:$I$27,FairPlay!$H$6:$H$27,$C13)</f>
        <v>0</v>
      </c>
      <c r="L13" s="22">
        <f>100-INDEX(Language!$D$5:$D$100,MATCH($C13,Language!$E$5:$E$100,0),1)</f>
        <v>76</v>
      </c>
    </row>
    <row r="14" spans="1:19">
      <c r="A14" s="22"/>
      <c r="B14" s="22" t="s">
        <v>1118</v>
      </c>
      <c r="C14" t="str">
        <f>CalcK!$D$24</f>
        <v>Oezbekistan</v>
      </c>
      <c r="D14" s="22">
        <f>CalcK!$E$24</f>
        <v>0</v>
      </c>
      <c r="E14" s="22">
        <f t="shared" si="1"/>
        <v>0</v>
      </c>
      <c r="F14" s="22">
        <f>CalcK!$F$24</f>
        <v>0</v>
      </c>
      <c r="G14" s="22">
        <f>CalcK!$G$24</f>
        <v>0</v>
      </c>
      <c r="H14" s="453">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c r="A15" s="22"/>
      <c r="B15" s="28" t="s">
        <v>1119</v>
      </c>
      <c r="C15" s="27" t="str">
        <f>CalcL!$D$24</f>
        <v>Ghana</v>
      </c>
      <c r="D15" s="28">
        <f>CalcL!$E$24</f>
        <v>0</v>
      </c>
      <c r="E15" s="28">
        <f t="shared" si="1"/>
        <v>0</v>
      </c>
      <c r="F15" s="28">
        <f>CalcL!$F$24</f>
        <v>0</v>
      </c>
      <c r="G15" s="28">
        <f>CalcL!$G$24</f>
        <v>0</v>
      </c>
      <c r="H15" s="454">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 thickBot="1">
      <c r="D16" s="45" t="s">
        <v>1106</v>
      </c>
      <c r="E16" s="45" t="s">
        <v>190</v>
      </c>
      <c r="F16" s="400" t="s">
        <v>1107</v>
      </c>
      <c r="G16" s="400" t="s">
        <v>1108</v>
      </c>
      <c r="H16" s="400" t="s">
        <v>191</v>
      </c>
      <c r="I16" s="45" t="s">
        <v>198</v>
      </c>
      <c r="J16" s="22"/>
    </row>
    <row r="17" spans="2:16" ht="15" thickTop="1">
      <c r="B17" s="402" t="s">
        <v>26</v>
      </c>
      <c r="C17" s="403" t="str">
        <f t="shared" ref="C17:G22" si="2">INDEX(C$4:C$15,MATCH($H17,$H$4:$H$15,0))</f>
        <v>IR Iran</v>
      </c>
      <c r="D17" s="404">
        <f t="shared" si="2"/>
        <v>0</v>
      </c>
      <c r="E17" s="405">
        <f t="shared" si="2"/>
        <v>0</v>
      </c>
      <c r="F17" s="406">
        <f t="shared" si="2"/>
        <v>0</v>
      </c>
      <c r="G17" s="407">
        <f t="shared" si="2"/>
        <v>0</v>
      </c>
      <c r="H17" s="408">
        <f t="shared" ref="H17:H22" si="3">LARGE($H$4:$H$15,ROW(A1))</f>
        <v>500000.00007900002</v>
      </c>
      <c r="I17" s="409" t="str">
        <f t="shared" ref="I17:I22" si="4">INDEX(I$4:I$15,MATCH($H17,$H$4:$H$15,0))</f>
        <v>G</v>
      </c>
      <c r="J17" s="447"/>
      <c r="K17" s="405">
        <f t="array" ref="K17">SUM(IF($I$17:$I$24 &lt; $I17,1))</f>
        <v>5</v>
      </c>
      <c r="L17" s="405" t="str">
        <f>INDEX($I$17:$I$24,MATCH(ROW(A1)-1,$K$17:$K$24,0))</f>
        <v>A</v>
      </c>
      <c r="M17" s="404">
        <f>D17</f>
        <v>0</v>
      </c>
      <c r="N17" s="410">
        <f>F17</f>
        <v>0</v>
      </c>
      <c r="O17" s="411" t="s">
        <v>1112</v>
      </c>
      <c r="P17" s="412">
        <f>G17</f>
        <v>0</v>
      </c>
    </row>
    <row r="18" spans="2:16">
      <c r="B18" s="413" t="s">
        <v>27</v>
      </c>
      <c r="C18" s="414" t="str">
        <f t="shared" si="2"/>
        <v>Oostenrijk</v>
      </c>
      <c r="D18" s="415">
        <f t="shared" si="2"/>
        <v>0</v>
      </c>
      <c r="E18" s="416">
        <f t="shared" si="2"/>
        <v>0</v>
      </c>
      <c r="F18" s="417">
        <f t="shared" si="2"/>
        <v>0</v>
      </c>
      <c r="G18" s="418">
        <f t="shared" si="2"/>
        <v>0</v>
      </c>
      <c r="H18" s="419">
        <f t="shared" si="3"/>
        <v>500000.000076</v>
      </c>
      <c r="I18" s="420" t="str">
        <f t="shared" si="4"/>
        <v>J</v>
      </c>
      <c r="J18" s="448"/>
      <c r="K18" s="416">
        <f t="array" ref="K18">SUM(IF($I$17:$I$24 &lt; $I18,1))</f>
        <v>6</v>
      </c>
      <c r="L18" s="416" t="str">
        <f>INDEX($I$17:$I$24,MATCH(ROW(A2)-1,$K$17:$K$24,0))</f>
        <v>B</v>
      </c>
      <c r="M18" s="415">
        <f t="shared" ref="M18:M22" si="5">D18</f>
        <v>0</v>
      </c>
      <c r="N18" s="421">
        <f t="shared" ref="N18:N22" si="6">F18</f>
        <v>0</v>
      </c>
      <c r="O18" s="422" t="s">
        <v>1112</v>
      </c>
      <c r="P18" s="423">
        <f t="shared" ref="P18:P22" si="7">G18</f>
        <v>0</v>
      </c>
    </row>
    <row r="19" spans="2:16">
      <c r="B19" s="413" t="s">
        <v>28</v>
      </c>
      <c r="C19" s="414" t="str">
        <f t="shared" si="2"/>
        <v>Rep. Korea</v>
      </c>
      <c r="D19" s="415">
        <f t="shared" si="2"/>
        <v>0</v>
      </c>
      <c r="E19" s="416">
        <f t="shared" si="2"/>
        <v>0</v>
      </c>
      <c r="F19" s="417">
        <f t="shared" si="2"/>
        <v>0</v>
      </c>
      <c r="G19" s="418">
        <f t="shared" si="2"/>
        <v>0</v>
      </c>
      <c r="H19" s="419">
        <f t="shared" si="3"/>
        <v>500000.00007499999</v>
      </c>
      <c r="I19" s="420" t="str">
        <f t="shared" si="4"/>
        <v>A</v>
      </c>
      <c r="J19" s="448"/>
      <c r="K19" s="416">
        <f t="array" ref="K19">SUM(IF($I$17:$I$24 &lt; $I19,1))</f>
        <v>0</v>
      </c>
      <c r="L19" s="416" t="str">
        <f t="shared" ref="L19:L24" si="8">INDEX($I$17:$I$24,MATCH(ROW(A3)-1,$K$17:$K$24,0))</f>
        <v>D</v>
      </c>
      <c r="M19" s="415">
        <f t="shared" si="5"/>
        <v>0</v>
      </c>
      <c r="N19" s="421">
        <f t="shared" si="6"/>
        <v>0</v>
      </c>
      <c r="O19" s="422" t="s">
        <v>1112</v>
      </c>
      <c r="P19" s="423">
        <f t="shared" si="7"/>
        <v>0</v>
      </c>
    </row>
    <row r="20" spans="2:16">
      <c r="B20" s="413" t="s">
        <v>29</v>
      </c>
      <c r="C20" s="414" t="str">
        <f t="shared" si="2"/>
        <v>Australië</v>
      </c>
      <c r="D20" s="415">
        <f t="shared" si="2"/>
        <v>0</v>
      </c>
      <c r="E20" s="416">
        <f t="shared" si="2"/>
        <v>0</v>
      </c>
      <c r="F20" s="417">
        <f t="shared" si="2"/>
        <v>0</v>
      </c>
      <c r="G20" s="418">
        <f t="shared" si="2"/>
        <v>0</v>
      </c>
      <c r="H20" s="419">
        <f t="shared" si="3"/>
        <v>500000.00007299997</v>
      </c>
      <c r="I20" s="420" t="str">
        <f t="shared" si="4"/>
        <v>D</v>
      </c>
      <c r="J20" s="448"/>
      <c r="K20" s="416">
        <f t="array" ref="K20">SUM(IF($I$17:$I$24 &lt; $I20,1))</f>
        <v>2</v>
      </c>
      <c r="L20" s="416" t="str">
        <f t="shared" si="8"/>
        <v>E</v>
      </c>
      <c r="M20" s="415">
        <f t="shared" si="5"/>
        <v>0</v>
      </c>
      <c r="N20" s="421">
        <f t="shared" si="6"/>
        <v>0</v>
      </c>
      <c r="O20" s="422" t="s">
        <v>1112</v>
      </c>
      <c r="P20" s="423">
        <f t="shared" si="7"/>
        <v>0</v>
      </c>
    </row>
    <row r="21" spans="2:16">
      <c r="B21" s="413" t="s">
        <v>1110</v>
      </c>
      <c r="C21" s="414" t="str">
        <f t="shared" si="2"/>
        <v>Ivoorkust</v>
      </c>
      <c r="D21" s="415">
        <f t="shared" si="2"/>
        <v>0</v>
      </c>
      <c r="E21" s="416">
        <f t="shared" si="2"/>
        <v>0</v>
      </c>
      <c r="F21" s="417">
        <f t="shared" si="2"/>
        <v>0</v>
      </c>
      <c r="G21" s="418">
        <f t="shared" si="2"/>
        <v>0</v>
      </c>
      <c r="H21" s="419">
        <f t="shared" si="3"/>
        <v>500000.00006599998</v>
      </c>
      <c r="I21" s="420" t="str">
        <f t="shared" si="4"/>
        <v>E</v>
      </c>
      <c r="J21" s="448"/>
      <c r="K21" s="416">
        <f t="array" ref="K21">SUM(IF($I$17:$I$24 &lt; $I21,1))</f>
        <v>3</v>
      </c>
      <c r="L21" s="416" t="str">
        <f t="shared" si="8"/>
        <v>F</v>
      </c>
      <c r="M21" s="415">
        <f t="shared" si="5"/>
        <v>0</v>
      </c>
      <c r="N21" s="421">
        <f t="shared" si="6"/>
        <v>0</v>
      </c>
      <c r="O21" s="422" t="s">
        <v>1112</v>
      </c>
      <c r="P21" s="423">
        <f t="shared" si="7"/>
        <v>0</v>
      </c>
    </row>
    <row r="22" spans="2:16">
      <c r="B22" s="436" t="s">
        <v>1111</v>
      </c>
      <c r="C22" s="437" t="str">
        <f t="shared" si="2"/>
        <v>Zweden</v>
      </c>
      <c r="D22" s="438">
        <f t="shared" si="2"/>
        <v>0</v>
      </c>
      <c r="E22" s="439">
        <f t="shared" si="2"/>
        <v>0</v>
      </c>
      <c r="F22" s="440">
        <f t="shared" si="2"/>
        <v>0</v>
      </c>
      <c r="G22" s="441">
        <f t="shared" si="2"/>
        <v>0</v>
      </c>
      <c r="H22" s="442">
        <f t="shared" si="3"/>
        <v>500000.00006200001</v>
      </c>
      <c r="I22" s="443" t="str">
        <f t="shared" si="4"/>
        <v>F</v>
      </c>
      <c r="J22" s="448"/>
      <c r="K22" s="416">
        <f t="array" ref="K22">SUM(IF($I$17:$I$24 &lt; $I22,1))</f>
        <v>4</v>
      </c>
      <c r="L22" s="416" t="str">
        <f t="shared" si="8"/>
        <v>G</v>
      </c>
      <c r="M22" s="438">
        <f t="shared" si="5"/>
        <v>0</v>
      </c>
      <c r="N22" s="444">
        <f t="shared" si="6"/>
        <v>0</v>
      </c>
      <c r="O22" s="445" t="s">
        <v>1112</v>
      </c>
      <c r="P22" s="446">
        <f t="shared" si="7"/>
        <v>0</v>
      </c>
    </row>
    <row r="23" spans="2:16">
      <c r="B23" s="436" t="s">
        <v>1114</v>
      </c>
      <c r="C23" s="437" t="str">
        <f t="shared" ref="C23:G28" si="9">INDEX(C$4:C$15,MATCH($H23,$H$4:$H$15,0))</f>
        <v>Oezbekistan</v>
      </c>
      <c r="D23" s="438">
        <f t="shared" si="9"/>
        <v>0</v>
      </c>
      <c r="E23" s="439">
        <f t="shared" si="9"/>
        <v>0</v>
      </c>
      <c r="F23" s="440">
        <f t="shared" si="9"/>
        <v>0</v>
      </c>
      <c r="G23" s="441">
        <f t="shared" si="9"/>
        <v>0</v>
      </c>
      <c r="H23" s="442">
        <f t="shared" ref="H23:H28" si="10">LARGE($H$4:$H$15,ROW(A7))</f>
        <v>500000.00004999997</v>
      </c>
      <c r="I23" s="443" t="str">
        <f t="shared" ref="I23:I28" si="11">INDEX(I$4:I$15,MATCH($H23,$H$4:$H$15,0))</f>
        <v>K</v>
      </c>
      <c r="K23" s="416">
        <f t="array" ref="K23">SUM(IF($I$17:$I$24 &lt; $I23,1))</f>
        <v>7</v>
      </c>
      <c r="L23" s="416" t="str">
        <f t="shared" si="8"/>
        <v>J</v>
      </c>
      <c r="M23" s="438">
        <f t="shared" ref="M23:M28" si="12">D23</f>
        <v>0</v>
      </c>
      <c r="N23" s="444">
        <f t="shared" ref="N23:N28" si="13">F23</f>
        <v>0</v>
      </c>
      <c r="O23" s="445" t="s">
        <v>1112</v>
      </c>
      <c r="P23" s="446">
        <f t="shared" ref="P23:P28" si="14">G23</f>
        <v>0</v>
      </c>
    </row>
    <row r="24" spans="2:16">
      <c r="B24" s="436" t="s">
        <v>1115</v>
      </c>
      <c r="C24" s="437" t="str">
        <f t="shared" si="9"/>
        <v>Qatar</v>
      </c>
      <c r="D24" s="438">
        <f t="shared" si="9"/>
        <v>0</v>
      </c>
      <c r="E24" s="439">
        <f t="shared" si="9"/>
        <v>0</v>
      </c>
      <c r="F24" s="440">
        <f t="shared" si="9"/>
        <v>0</v>
      </c>
      <c r="G24" s="441">
        <f t="shared" si="9"/>
        <v>0</v>
      </c>
      <c r="H24" s="442">
        <f t="shared" si="10"/>
        <v>500000.00004499999</v>
      </c>
      <c r="I24" s="443" t="str">
        <f t="shared" si="11"/>
        <v>B</v>
      </c>
      <c r="K24" s="416">
        <f t="array" ref="K24">SUM(IF($I$17:$I$24 &lt; $I24,1))</f>
        <v>1</v>
      </c>
      <c r="L24" s="416" t="str">
        <f t="shared" si="8"/>
        <v>K</v>
      </c>
      <c r="M24" s="438">
        <f t="shared" si="12"/>
        <v>0</v>
      </c>
      <c r="N24" s="444">
        <f t="shared" si="13"/>
        <v>0</v>
      </c>
      <c r="O24" s="445" t="s">
        <v>1112</v>
      </c>
      <c r="P24" s="446">
        <f t="shared" si="14"/>
        <v>0</v>
      </c>
    </row>
    <row r="25" spans="2:16">
      <c r="B25" s="436" t="s">
        <v>1116</v>
      </c>
      <c r="C25" s="437" t="str">
        <f t="shared" si="9"/>
        <v>Irak</v>
      </c>
      <c r="D25" s="438">
        <f t="shared" si="9"/>
        <v>0</v>
      </c>
      <c r="E25" s="439">
        <f t="shared" si="9"/>
        <v>0</v>
      </c>
      <c r="F25" s="440">
        <f t="shared" si="9"/>
        <v>0</v>
      </c>
      <c r="G25" s="441">
        <f t="shared" si="9"/>
        <v>0</v>
      </c>
      <c r="H25" s="442">
        <f t="shared" si="10"/>
        <v>500000.00004299998</v>
      </c>
      <c r="I25" s="443" t="str">
        <f t="shared" si="11"/>
        <v>I</v>
      </c>
      <c r="L25" s="25"/>
      <c r="M25" s="438">
        <f t="shared" si="12"/>
        <v>0</v>
      </c>
      <c r="N25" s="444">
        <f t="shared" si="13"/>
        <v>0</v>
      </c>
      <c r="O25" s="445" t="s">
        <v>1112</v>
      </c>
      <c r="P25" s="446">
        <f t="shared" si="14"/>
        <v>0</v>
      </c>
    </row>
    <row r="26" spans="2:16">
      <c r="B26" s="436" t="s">
        <v>1117</v>
      </c>
      <c r="C26" s="437" t="str">
        <f t="shared" si="9"/>
        <v>Saoedi-Arabië</v>
      </c>
      <c r="D26" s="438">
        <f t="shared" si="9"/>
        <v>0</v>
      </c>
      <c r="E26" s="439">
        <f t="shared" si="9"/>
        <v>0</v>
      </c>
      <c r="F26" s="440">
        <f t="shared" si="9"/>
        <v>0</v>
      </c>
      <c r="G26" s="441">
        <f t="shared" si="9"/>
        <v>0</v>
      </c>
      <c r="H26" s="442">
        <f t="shared" si="10"/>
        <v>500000.00003900001</v>
      </c>
      <c r="I26" s="443" t="str">
        <f t="shared" si="11"/>
        <v>H</v>
      </c>
      <c r="L26" s="25"/>
      <c r="M26" s="438">
        <f t="shared" si="12"/>
        <v>0</v>
      </c>
      <c r="N26" s="444">
        <f t="shared" si="13"/>
        <v>0</v>
      </c>
      <c r="O26" s="445" t="s">
        <v>1112</v>
      </c>
      <c r="P26" s="446">
        <f t="shared" si="14"/>
        <v>0</v>
      </c>
    </row>
    <row r="27" spans="2:16">
      <c r="B27" s="436" t="s">
        <v>1118</v>
      </c>
      <c r="C27" s="437" t="str">
        <f t="shared" si="9"/>
        <v>Ghana</v>
      </c>
      <c r="D27" s="438">
        <f t="shared" si="9"/>
        <v>0</v>
      </c>
      <c r="E27" s="439">
        <f t="shared" si="9"/>
        <v>0</v>
      </c>
      <c r="F27" s="440">
        <f t="shared" si="9"/>
        <v>0</v>
      </c>
      <c r="G27" s="441">
        <f t="shared" si="9"/>
        <v>0</v>
      </c>
      <c r="H27" s="442">
        <f t="shared" si="10"/>
        <v>500000.00002600002</v>
      </c>
      <c r="I27" s="443" t="str">
        <f t="shared" si="11"/>
        <v>L</v>
      </c>
      <c r="L27" s="25"/>
      <c r="M27" s="438">
        <f t="shared" si="12"/>
        <v>0</v>
      </c>
      <c r="N27" s="444">
        <f t="shared" si="13"/>
        <v>0</v>
      </c>
      <c r="O27" s="445" t="s">
        <v>1112</v>
      </c>
      <c r="P27" s="446">
        <f t="shared" si="14"/>
        <v>0</v>
      </c>
    </row>
    <row r="28" spans="2:16" ht="15" thickBot="1">
      <c r="B28" s="424" t="s">
        <v>1119</v>
      </c>
      <c r="C28" s="425" t="str">
        <f t="shared" si="9"/>
        <v>Haïti</v>
      </c>
      <c r="D28" s="426">
        <f t="shared" si="9"/>
        <v>0</v>
      </c>
      <c r="E28" s="427">
        <f t="shared" si="9"/>
        <v>0</v>
      </c>
      <c r="F28" s="428">
        <f t="shared" si="9"/>
        <v>0</v>
      </c>
      <c r="G28" s="429">
        <f t="shared" si="9"/>
        <v>0</v>
      </c>
      <c r="H28" s="430">
        <f t="shared" si="10"/>
        <v>500000.00001700001</v>
      </c>
      <c r="I28" s="431" t="str">
        <f t="shared" si="11"/>
        <v>C</v>
      </c>
      <c r="J28" s="399"/>
      <c r="K28" s="399"/>
      <c r="L28" s="449"/>
      <c r="M28" s="426">
        <f t="shared" si="12"/>
        <v>0</v>
      </c>
      <c r="N28" s="432">
        <f t="shared" si="13"/>
        <v>0</v>
      </c>
      <c r="O28" s="433" t="s">
        <v>1112</v>
      </c>
      <c r="P28" s="434">
        <f t="shared" si="14"/>
        <v>0</v>
      </c>
    </row>
    <row r="29" spans="2:16" ht="15" thickTop="1">
      <c r="L29" s="25"/>
    </row>
    <row r="30" spans="2:16">
      <c r="D30" s="22"/>
      <c r="E30" s="22"/>
      <c r="F30" s="22"/>
      <c r="G30" s="951" t="s">
        <v>1082</v>
      </c>
      <c r="H30" s="951"/>
      <c r="I30" s="416" t="str">
        <f>IF(Distinctness!$G$17&gt;0,L17&amp;L18&amp;L19&amp;L20&amp;L21&amp;L22&amp;L23&amp;L24,"")</f>
        <v/>
      </c>
      <c r="J30" s="22"/>
      <c r="K30" s="22"/>
      <c r="L30" s="22"/>
    </row>
    <row r="31" spans="2:16">
      <c r="D31" s="22"/>
      <c r="E31" s="22"/>
      <c r="F31" s="22"/>
      <c r="G31" s="22"/>
      <c r="I31" s="22"/>
      <c r="J31" s="22"/>
      <c r="K31" s="22"/>
      <c r="L31" s="22"/>
    </row>
    <row r="33" spans="8:9">
      <c r="H33" s="435" t="s">
        <v>1113</v>
      </c>
      <c r="I33" s="30"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0.90625" defaultRowHeight="14.5"/>
  <sheetData>
    <row r="1" spans="2:14" ht="23.5">
      <c r="B1" s="49" t="s">
        <v>308</v>
      </c>
      <c r="C1" s="49"/>
      <c r="D1" s="49"/>
      <c r="E1" s="49"/>
      <c r="F1" s="49"/>
    </row>
    <row r="3" spans="2:14">
      <c r="B3" s="29" t="s">
        <v>198</v>
      </c>
      <c r="C3" s="29" t="s">
        <v>197</v>
      </c>
      <c r="D3" s="29" t="s">
        <v>196</v>
      </c>
      <c r="E3" s="29" t="s">
        <v>199</v>
      </c>
      <c r="F3" s="29" t="s">
        <v>314</v>
      </c>
      <c r="G3" s="29" t="s">
        <v>35</v>
      </c>
      <c r="H3" s="29" t="s">
        <v>195</v>
      </c>
      <c r="J3" s="46"/>
      <c r="K3" s="47"/>
      <c r="L3" s="47"/>
      <c r="M3" s="47"/>
      <c r="N3" s="47"/>
    </row>
    <row r="4" spans="2:14">
      <c r="B4" s="22" t="s">
        <v>24</v>
      </c>
      <c r="C4" s="22" t="b">
        <f>CalcA!$AU$14</f>
        <v>0</v>
      </c>
      <c r="D4" s="30">
        <f>COUNTIF($C$4:$C$15,TRUE)</f>
        <v>0</v>
      </c>
      <c r="E4" s="22" t="str">
        <f>IF($C4,$B4,"")</f>
        <v/>
      </c>
      <c r="F4" s="22">
        <f>LEN($E4)</f>
        <v>0</v>
      </c>
      <c r="G4" s="22">
        <f>SUM($F$4:$F4)</f>
        <v>0</v>
      </c>
      <c r="H4" t="str">
        <f>IF($E4&lt;&gt;"",$E4&amp;IF($G4=$G$15,"",IF($G4&lt;$G$15-1,", ",Language!$E$191)),"")</f>
        <v/>
      </c>
      <c r="J4" s="952" t="str">
        <f>Language!$E$189&amp;"  "&amp;$K$13&amp;"."</f>
        <v>Groepen met Fair-Play score:  .</v>
      </c>
      <c r="K4" s="953"/>
      <c r="L4" s="953"/>
      <c r="M4" s="953"/>
      <c r="N4" s="953"/>
    </row>
    <row r="5" spans="2:14">
      <c r="B5" s="22" t="s">
        <v>20</v>
      </c>
      <c r="C5" s="22" t="b">
        <f>CalcB!$AU$14</f>
        <v>0</v>
      </c>
      <c r="E5" s="22" t="str">
        <f t="shared" ref="E5:E15" si="0">IF($C5,$B5,"")</f>
        <v/>
      </c>
      <c r="F5" s="22">
        <f t="shared" ref="F5:F15" si="1">LEN($E5)</f>
        <v>0</v>
      </c>
      <c r="G5" s="22">
        <f>SUM($F$4:$F5)</f>
        <v>0</v>
      </c>
      <c r="H5" t="str">
        <f>IF($E5&lt;&gt;"",$E5&amp;IF($G5=$G$15,"",IF($G5&lt;$G$15-1,", ",Language!$E$191)),"")</f>
        <v/>
      </c>
      <c r="J5" s="954" t="str">
        <f>Language!$E$190</f>
        <v>De rangschikking is verduidelijkt in alle groepen.</v>
      </c>
      <c r="K5" s="954"/>
      <c r="L5" s="954"/>
      <c r="M5" s="954"/>
      <c r="N5" s="954"/>
    </row>
    <row r="6" spans="2:14">
      <c r="B6" s="22" t="s">
        <v>21</v>
      </c>
      <c r="C6" s="22" t="b">
        <f>CalcC!$AU$14</f>
        <v>0</v>
      </c>
      <c r="E6" s="22" t="str">
        <f t="shared" si="0"/>
        <v/>
      </c>
      <c r="F6" s="22">
        <f t="shared" si="1"/>
        <v>0</v>
      </c>
      <c r="G6" s="22">
        <f>SUM($F$4:$F6)</f>
        <v>0</v>
      </c>
      <c r="H6" t="str">
        <f>IF($E6&lt;&gt;"",$E6&amp;IF($G6=$G$15,"",IF($G6&lt;$G$15-1,", ",Language!$E$191)),"")</f>
        <v/>
      </c>
    </row>
    <row r="7" spans="2:14">
      <c r="B7" s="22" t="s">
        <v>25</v>
      </c>
      <c r="C7" s="22" t="b">
        <f>CalcD!$AU$14</f>
        <v>0</v>
      </c>
      <c r="E7" s="22" t="str">
        <f t="shared" si="0"/>
        <v/>
      </c>
      <c r="F7" s="22">
        <f t="shared" si="1"/>
        <v>0</v>
      </c>
      <c r="G7" s="22">
        <f>SUM($F$4:$F7)</f>
        <v>0</v>
      </c>
      <c r="H7" t="str">
        <f>IF($E7&lt;&gt;"",$E7&amp;IF($G7=$G$15,"",IF($G7&lt;$G$15-1,", ",Language!$E$191)),"")</f>
        <v/>
      </c>
      <c r="J7" s="46"/>
      <c r="K7" s="46"/>
      <c r="L7" s="46"/>
      <c r="M7" s="46"/>
      <c r="N7" s="46"/>
    </row>
    <row r="8" spans="2:14">
      <c r="B8" s="22" t="s">
        <v>22</v>
      </c>
      <c r="C8" s="22" t="b">
        <f>CalcE!$AU$14</f>
        <v>0</v>
      </c>
      <c r="E8" s="22" t="str">
        <f t="shared" si="0"/>
        <v/>
      </c>
      <c r="F8" s="22">
        <f t="shared" si="1"/>
        <v>0</v>
      </c>
      <c r="G8" s="22">
        <f>SUM($F$4:$F8)</f>
        <v>0</v>
      </c>
      <c r="H8" t="str">
        <f>IF($E8&lt;&gt;"",$E8&amp;IF($G8=$G$15,"",IF($G8&lt;$G$15-1,", ",Language!$E$191)),"")</f>
        <v/>
      </c>
      <c r="J8" s="46"/>
      <c r="K8" s="46"/>
      <c r="L8" s="46"/>
      <c r="M8" s="46"/>
      <c r="N8" s="46"/>
    </row>
    <row r="9" spans="2:14">
      <c r="B9" s="22" t="s">
        <v>23</v>
      </c>
      <c r="C9" s="22" t="b">
        <f>CalcF!$AU$14</f>
        <v>0</v>
      </c>
      <c r="E9" s="22" t="str">
        <f t="shared" si="0"/>
        <v/>
      </c>
      <c r="F9" s="22">
        <f t="shared" si="1"/>
        <v>0</v>
      </c>
      <c r="G9" s="22">
        <f>SUM($F$4:$F9)</f>
        <v>0</v>
      </c>
      <c r="H9" t="str">
        <f>IF($E9&lt;&gt;"",$E9&amp;IF($G9=$G$15,"",IF($G9&lt;$G$15-1,", ",Language!$E$191)),"")</f>
        <v/>
      </c>
    </row>
    <row r="10" spans="2:14">
      <c r="B10" s="22" t="s">
        <v>272</v>
      </c>
      <c r="C10" s="22" t="b">
        <f>CalcG!$AU$14</f>
        <v>0</v>
      </c>
      <c r="E10" s="22" t="str">
        <f t="shared" si="0"/>
        <v/>
      </c>
      <c r="F10" s="22">
        <f t="shared" si="1"/>
        <v>0</v>
      </c>
      <c r="G10" s="22">
        <f>SUM($F$4:$F10)</f>
        <v>0</v>
      </c>
      <c r="H10" t="str">
        <f>IF($E10&lt;&gt;"",$E10&amp;IF($G10=$G$15,"",IF($G10&lt;$G$15-1,", ",Language!$E$191)),"")</f>
        <v/>
      </c>
    </row>
    <row r="11" spans="2:14">
      <c r="B11" s="22" t="s">
        <v>31</v>
      </c>
      <c r="C11" s="22" t="b">
        <f>CalcH!$AU$14</f>
        <v>0</v>
      </c>
      <c r="E11" s="22" t="str">
        <f t="shared" si="0"/>
        <v/>
      </c>
      <c r="F11" s="22">
        <f t="shared" si="1"/>
        <v>0</v>
      </c>
      <c r="G11" s="22">
        <f>SUM($F$4:$F11)</f>
        <v>0</v>
      </c>
      <c r="H11" t="str">
        <f>IF($E11&lt;&gt;"",$E11&amp;IF($G11=$G$15,"",IF($G11&lt;$G$15-1,", ",Language!$E$191)),"")</f>
        <v/>
      </c>
    </row>
    <row r="12" spans="2:14">
      <c r="B12" s="22" t="s">
        <v>32</v>
      </c>
      <c r="C12" s="22" t="b">
        <f>CalcI!$AU$14</f>
        <v>0</v>
      </c>
      <c r="E12" s="22" t="str">
        <f t="shared" si="0"/>
        <v/>
      </c>
      <c r="F12" s="22">
        <f t="shared" si="1"/>
        <v>0</v>
      </c>
      <c r="G12" s="22">
        <f>SUM($F$4:$F12)</f>
        <v>0</v>
      </c>
      <c r="H12" t="str">
        <f>IF($E12&lt;&gt;"",$E12&amp;IF($G12=$G$15,"",IF($G12&lt;$G$15-1,", ",Language!$E$191)),"")</f>
        <v/>
      </c>
      <c r="J12" s="48"/>
      <c r="K12" s="48"/>
      <c r="L12" s="48"/>
      <c r="M12" s="48"/>
      <c r="N12" s="48"/>
    </row>
    <row r="13" spans="2:14">
      <c r="B13" s="22" t="s">
        <v>841</v>
      </c>
      <c r="C13" s="22" t="b">
        <f>CalcJ!$AU$14</f>
        <v>0</v>
      </c>
      <c r="E13" s="22" t="str">
        <f t="shared" si="0"/>
        <v/>
      </c>
      <c r="F13" s="22">
        <f t="shared" si="1"/>
        <v>0</v>
      </c>
      <c r="G13" s="22">
        <f>SUM($F$4:$F13)</f>
        <v>0</v>
      </c>
      <c r="H13" t="str">
        <f>IF($E13&lt;&gt;"",$E13&amp;IF($G13=$G$15,"",IF($G13&lt;$G$15-1,", ",Language!$E$191)),"")</f>
        <v/>
      </c>
      <c r="J13" s="29" t="s">
        <v>194</v>
      </c>
      <c r="K13" s="955" t="str">
        <f>$H$4&amp;$H$5&amp;$H$6&amp;$H$7&amp;$H$8&amp;$H$9&amp;$H$10&amp;$H$11&amp;$H$12&amp;$H$13&amp;$H$14&amp;$H$15</f>
        <v/>
      </c>
      <c r="L13" s="956"/>
      <c r="M13" s="956"/>
      <c r="N13" s="956"/>
    </row>
    <row r="14" spans="2:14">
      <c r="B14" s="22" t="s">
        <v>33</v>
      </c>
      <c r="C14" s="22" t="b">
        <f>CalcK!$AU$14</f>
        <v>0</v>
      </c>
      <c r="E14" s="22" t="str">
        <f t="shared" si="0"/>
        <v/>
      </c>
      <c r="F14" s="22">
        <f t="shared" si="1"/>
        <v>0</v>
      </c>
      <c r="G14" s="22">
        <f>SUM($F$4:$F14)</f>
        <v>0</v>
      </c>
      <c r="H14" t="str">
        <f>IF($E14&lt;&gt;"",$E14&amp;IF($G14=$G$15,"",IF($G14&lt;$G$15-1,", ",Language!$E$191)),"")</f>
        <v/>
      </c>
    </row>
    <row r="15" spans="2:14">
      <c r="B15" s="22" t="s">
        <v>34</v>
      </c>
      <c r="C15" s="22" t="b">
        <f>CalcL!$AU$14</f>
        <v>0</v>
      </c>
      <c r="E15" s="22" t="str">
        <f t="shared" si="0"/>
        <v/>
      </c>
      <c r="F15" s="22">
        <f t="shared" si="1"/>
        <v>0</v>
      </c>
      <c r="G15" s="22">
        <f>SUM($F$4:$F15)</f>
        <v>0</v>
      </c>
      <c r="H15" t="str">
        <f>IF($E15&lt;&gt;"",$E15&amp;IF($G15=$G$15,"",IF($G15&lt;$G$15-1,", ",Language!$E$191)),"")</f>
        <v/>
      </c>
      <c r="J15" s="14"/>
      <c r="K15" s="14"/>
    </row>
    <row r="16" spans="2:14" ht="15" thickBot="1">
      <c r="B16" s="22"/>
      <c r="C16" s="22"/>
      <c r="E16" s="22"/>
      <c r="F16" s="22"/>
      <c r="G16" s="22"/>
      <c r="J16" s="52"/>
      <c r="K16" s="52"/>
    </row>
    <row r="17" spans="2:7" ht="15" thickBot="1">
      <c r="B17" s="22"/>
      <c r="C17" s="22"/>
      <c r="E17" s="22"/>
      <c r="F17" s="31" t="s">
        <v>1629</v>
      </c>
      <c r="G17" s="460">
        <f>CalcA!$L$9+CalcB!$L$9+CalcC!$L$9+CalcD!$L$9+CalcE!$L$9+CalcF!$L$9+CalcG!$L$9+CalcH!$L$9+CalcI!$L$9+CalcJ!$L$9+CalcK!$L$9+CalcL!$L$9</f>
        <v>0</v>
      </c>
    </row>
    <row r="18" spans="2:7">
      <c r="B18" s="22"/>
      <c r="C18" s="22"/>
      <c r="E18" s="22"/>
      <c r="F18" s="22"/>
      <c r="G18" s="22"/>
    </row>
    <row r="19" spans="2:7">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6.1796875" style="675" customWidth="1"/>
    <col min="42" max="42" width="5.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3" width="2.7265625" style="675"/>
    <col min="54" max="54" width="3" style="675" bestFit="1" customWidth="1"/>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24</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c r="AZ3" s="779" t="s">
        <v>1852</v>
      </c>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Mexico</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15</v>
      </c>
      <c r="R5" s="717">
        <f>(1000-Q5)*($L$9&gt;0)</f>
        <v>0</v>
      </c>
      <c r="S5" s="582"/>
      <c r="T5" s="582"/>
      <c r="U5" s="595"/>
      <c r="V5" s="582"/>
      <c r="W5" s="582"/>
      <c r="X5" s="768"/>
      <c r="Y5" s="582"/>
      <c r="Z5" s="582"/>
      <c r="AA5" s="582"/>
      <c r="AB5" s="768"/>
      <c r="AC5" s="582"/>
      <c r="AD5" s="582"/>
      <c r="AE5" s="582"/>
      <c r="AF5" s="768"/>
      <c r="AG5" s="582"/>
      <c r="AH5" s="582"/>
      <c r="AI5" s="582"/>
      <c r="AJ5" s="768"/>
      <c r="AK5" s="582"/>
      <c r="AL5" s="582"/>
      <c r="AM5" s="768"/>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Zuid-Afrika</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60</v>
      </c>
      <c r="R6" s="717">
        <f t="shared" ref="R6:R8" si="3">(1000-Q6)*($L$9&gt;0)</f>
        <v>0</v>
      </c>
      <c r="S6" s="582"/>
      <c r="T6" s="582"/>
      <c r="U6" s="595"/>
      <c r="V6" s="582"/>
      <c r="W6" s="582"/>
      <c r="X6" s="768"/>
      <c r="Y6" s="582"/>
      <c r="Z6" s="582"/>
      <c r="AA6" s="582"/>
      <c r="AB6" s="768"/>
      <c r="AC6" s="582"/>
      <c r="AD6" s="582"/>
      <c r="AE6" s="582"/>
      <c r="AF6" s="768"/>
      <c r="AG6" s="582"/>
      <c r="AH6" s="582"/>
      <c r="AI6" s="582"/>
      <c r="AJ6" s="768"/>
      <c r="AK6" s="582"/>
      <c r="AL6" s="582"/>
      <c r="AM6" s="768"/>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Rep. Korea</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25</v>
      </c>
      <c r="R7" s="717">
        <f t="shared" si="3"/>
        <v>0</v>
      </c>
      <c r="S7" s="582"/>
      <c r="T7" s="582"/>
      <c r="U7" s="595"/>
      <c r="V7" s="582"/>
      <c r="W7" s="582"/>
      <c r="X7" s="768"/>
      <c r="Y7" s="582"/>
      <c r="Z7" s="582"/>
      <c r="AA7" s="582"/>
      <c r="AB7" s="768"/>
      <c r="AC7" s="582"/>
      <c r="AD7" s="582"/>
      <c r="AE7" s="582"/>
      <c r="AF7" s="768"/>
      <c r="AG7" s="582"/>
      <c r="AH7" s="582"/>
      <c r="AI7" s="582"/>
      <c r="AJ7" s="768"/>
      <c r="AK7" s="582"/>
      <c r="AL7" s="582"/>
      <c r="AM7" s="768"/>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Tsjechië</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41</v>
      </c>
      <c r="R8" s="717">
        <f t="shared" si="3"/>
        <v>0</v>
      </c>
      <c r="S8" s="582"/>
      <c r="T8" s="582"/>
      <c r="U8" s="595"/>
      <c r="V8" s="582"/>
      <c r="W8" s="582"/>
      <c r="X8" s="768"/>
      <c r="Y8" s="582"/>
      <c r="Z8" s="582"/>
      <c r="AA8" s="582"/>
      <c r="AB8" s="768"/>
      <c r="AC8" s="582"/>
      <c r="AD8" s="582"/>
      <c r="AE8" s="582"/>
      <c r="AF8" s="768"/>
      <c r="AG8" s="582"/>
      <c r="AH8" s="582"/>
      <c r="AI8" s="582"/>
      <c r="AJ8" s="768"/>
      <c r="AK8" s="582"/>
      <c r="AL8" s="582"/>
      <c r="AM8" s="768"/>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Mexico</v>
      </c>
      <c r="BF13" s="605" t="str">
        <v>Zuid-Afrika</v>
      </c>
      <c r="BG13" s="605" t="str">
        <v>Rep. Korea</v>
      </c>
      <c r="BH13" s="606" t="str">
        <v>Tsjechië</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Mexico</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Mexico</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Zuid-Afrika</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Zuid-Afrika</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Rep. Korea</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Rep. Korea</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Tsjechië</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Tsjechië</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Mexico</v>
      </c>
      <c r="I21" s="633" t="str">
        <v>Zuid-Afrika</v>
      </c>
      <c r="J21" s="633" t="str">
        <v>Rep. Korea</v>
      </c>
      <c r="K21" s="634" t="str">
        <v>Tsjechië</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Mexico</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15</v>
      </c>
      <c r="O22" s="643" t="s">
        <v>26</v>
      </c>
      <c r="P22" s="678" t="str">
        <f>INDEX('World Cup'!$B$13:$AJ$38,1,1+(CODE($B$1)-65)*3)</f>
        <v>Mexico</v>
      </c>
      <c r="Q22" s="679" t="str">
        <f>INDEX('World Cup'!$B$13:$AJ$38,1,2+(CODE($B$1)-65)*3)</f>
        <v>Zuid-Afrika</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7" si="28">IF(AND(P22&lt;&gt;"",Q22&lt;&gt;"",P22&lt;&gt;Q22,R22&lt;&gt;"",S22&lt;&gt;""),1,0)</f>
        <v>0</v>
      </c>
      <c r="U22" s="646">
        <f t="shared" ref="U22:U27" si="29">IF($T22=0,0,IF($R22&gt;$S22,3,IF($R22=$S22,1,0)))</f>
        <v>0</v>
      </c>
      <c r="V22" s="647">
        <f t="shared" ref="V22:V27" si="30">IF($T22=0,0,IF($R22&lt;$S22,3,IF($R22=$S22,1,0)))</f>
        <v>0</v>
      </c>
      <c r="W22" s="648">
        <f t="shared" ref="W22:W27" si="31">IF(OR(R22="",S22=""),0,R22-S22)</f>
        <v>0</v>
      </c>
      <c r="X22" s="649">
        <f t="shared" ref="X22:X27" si="32">IF(OR(R22="",S22=""),0,R22)</f>
        <v>0</v>
      </c>
      <c r="Y22" s="650">
        <f t="shared" ref="Y22:Y27" si="33">IF(OR(R22="",S22=""),0,S22)</f>
        <v>0</v>
      </c>
      <c r="Z22" s="651" t="str">
        <f t="shared" ref="Z22:Z27" si="34">P22&amp;Q22</f>
        <v>MexicoZuid-Afrika</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Zuid-Afrika</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60</v>
      </c>
      <c r="O23" s="655" t="s">
        <v>27</v>
      </c>
      <c r="P23" s="681" t="str">
        <f>INDEX('World Cup'!$B$13:$AJ$38,6,1+(CODE($B$1)-65)*3)</f>
        <v>Rep. Korea</v>
      </c>
      <c r="Q23" s="682" t="str">
        <f>INDEX('World Cup'!$B$13:$AJ$38,6,2+(CODE($B$1)-65)*3)</f>
        <v>Tsjechië</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Rep. KoreaTsjechië</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Rep. Korea</v>
      </c>
      <c r="E24" s="700">
        <f t="shared" si="36"/>
        <v>0</v>
      </c>
      <c r="F24" s="582">
        <f t="shared" si="37"/>
        <v>0</v>
      </c>
      <c r="G24" s="707">
        <f t="shared" si="38"/>
        <v>0</v>
      </c>
      <c r="H24" s="639" t="str">
        <v/>
      </c>
      <c r="I24" s="582" t="str">
        <v/>
      </c>
      <c r="J24" s="640" t="str">
        <v/>
      </c>
      <c r="K24" s="703" t="str">
        <v/>
      </c>
      <c r="L24" s="691" t="b">
        <f t="shared" si="39"/>
        <v>0</v>
      </c>
      <c r="M24" s="691" t="b">
        <v>0</v>
      </c>
      <c r="N24" s="582">
        <f t="shared" si="40"/>
        <v>25</v>
      </c>
      <c r="O24" s="655" t="s">
        <v>28</v>
      </c>
      <c r="P24" s="681" t="str">
        <f>INDEX('World Cup'!$B$13:$AJ$38,11,1+(CODE($B$1)-65)*3)</f>
        <v>Tsjechië</v>
      </c>
      <c r="Q24" s="682" t="str">
        <f>INDEX('World Cup'!$B$13:$AJ$38,11,2+(CODE($B$1)-65)*3)</f>
        <v>Zuid-Afrika</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TsjechiëZuid-Afrika</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Tsjechië</v>
      </c>
      <c r="E25" s="708">
        <f t="shared" si="36"/>
        <v>0</v>
      </c>
      <c r="F25" s="642">
        <f t="shared" si="37"/>
        <v>0</v>
      </c>
      <c r="G25" s="709">
        <f t="shared" si="38"/>
        <v>0</v>
      </c>
      <c r="H25" s="641" t="str">
        <v/>
      </c>
      <c r="I25" s="642" t="str">
        <v/>
      </c>
      <c r="J25" s="642" t="str">
        <v/>
      </c>
      <c r="K25" s="704" t="str">
        <v/>
      </c>
      <c r="L25" s="691" t="b">
        <f t="shared" si="39"/>
        <v>0</v>
      </c>
      <c r="M25" s="691" t="b">
        <v>0</v>
      </c>
      <c r="N25" s="582">
        <f t="shared" si="40"/>
        <v>41</v>
      </c>
      <c r="O25" s="655" t="s">
        <v>29</v>
      </c>
      <c r="P25" s="681" t="str">
        <f>INDEX('World Cup'!$B$13:$AJ$38,16,1+(CODE($B$1)-65)*3)</f>
        <v>Mexico</v>
      </c>
      <c r="Q25" s="682" t="str">
        <f>INDEX('World Cup'!$B$13:$AJ$38,16,2+(CODE($B$1)-65)*3)</f>
        <v>Rep. Korea</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MexicoRep. Korea</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Tsjechië</v>
      </c>
      <c r="Q26" s="682" t="str">
        <f>INDEX('World Cup'!$B$13:$AJ$38,21,2+(CODE($B$1)-65)*3)</f>
        <v>Mexico</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si="28"/>
        <v>0</v>
      </c>
      <c r="U26" s="657">
        <f t="shared" si="29"/>
        <v>0</v>
      </c>
      <c r="V26" s="582">
        <f t="shared" si="30"/>
        <v>0</v>
      </c>
      <c r="W26" s="658">
        <f t="shared" si="31"/>
        <v>0</v>
      </c>
      <c r="X26" s="659">
        <f t="shared" si="32"/>
        <v>0</v>
      </c>
      <c r="Y26" s="660">
        <f t="shared" si="33"/>
        <v>0</v>
      </c>
      <c r="Z26" s="661" t="str">
        <f t="shared" si="34"/>
        <v>TsjechiëMexico</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Zuid-Afrika</v>
      </c>
      <c r="Q27" s="685" t="str">
        <f>INDEX('World Cup'!$B$13:$AJ$38,26,2+(CODE($B$1)-65)*3)</f>
        <v>Rep. Korea</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28"/>
        <v>0</v>
      </c>
      <c r="U27" s="668">
        <f t="shared" si="29"/>
        <v>0</v>
      </c>
      <c r="V27" s="667">
        <f t="shared" si="30"/>
        <v>0</v>
      </c>
      <c r="W27" s="669">
        <f t="shared" si="31"/>
        <v>0</v>
      </c>
      <c r="X27" s="670">
        <f t="shared" si="32"/>
        <v>0</v>
      </c>
      <c r="Y27" s="671">
        <f t="shared" si="33"/>
        <v>0</v>
      </c>
      <c r="Z27" s="672" t="str">
        <f t="shared" si="34"/>
        <v>Zuid-AfrikaRep. Korea</v>
      </c>
      <c r="AA27" s="673" t="str">
        <f>IF($T27,$X27&amp;Language!$E$197&amp;$Y27,"")</f>
        <v/>
      </c>
      <c r="AE27" s="601"/>
      <c r="AF27" s="601"/>
      <c r="AG27" s="582"/>
      <c r="AH27" s="601"/>
      <c r="AI27" s="601"/>
      <c r="AJ27" s="601"/>
      <c r="AK27" s="653"/>
      <c r="AL27" s="601"/>
      <c r="AM27" s="601"/>
      <c r="AN27" s="727"/>
      <c r="AO27" s="727"/>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2">Q22&amp;P22</f>
        <v>Zuid-AfrikaMexico</v>
      </c>
      <c r="AA28" s="662" t="str">
        <f>IF($T22,$Y22&amp;Language!$E$197&amp;$X22,"")</f>
        <v/>
      </c>
      <c r="AE28" s="601"/>
      <c r="AF28" s="601"/>
      <c r="AG28" s="582"/>
      <c r="AH28" s="601"/>
      <c r="AI28" s="601"/>
      <c r="AJ28" s="601"/>
      <c r="AK28" s="653"/>
      <c r="AL28" s="601"/>
      <c r="AM28" s="601"/>
      <c r="AN28" s="727"/>
      <c r="AO28" s="727"/>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2"/>
        <v>TsjechiëRep. Korea</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2"/>
        <v>Zuid-AfrikaTsjechië</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2"/>
        <v>Rep. KoreaMexico</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2"/>
        <v>MexicoTsjechië</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2"/>
        <v>Rep. KoreaZuid-Afrika</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20</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Canada</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30</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Bosnië/Herzeg.</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65</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Qatar</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55</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Zwitserland</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19</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Canada</v>
      </c>
      <c r="BF13" s="605" t="str">
        <v>Bosnië/Herzeg.</v>
      </c>
      <c r="BG13" s="605" t="str">
        <v>Qatar</v>
      </c>
      <c r="BH13" s="606" t="str">
        <v>Zwitserland</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Canada</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Canada</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Bosnië/Herzeg.</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Bosnië/Herzeg.</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Qatar</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Qatar</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Zwitserland</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Zwitserland</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Canada</v>
      </c>
      <c r="I21" s="633" t="str">
        <v>Bosnië/Herzeg.</v>
      </c>
      <c r="J21" s="633" t="str">
        <v>Qatar</v>
      </c>
      <c r="K21" s="634" t="str">
        <v>Zwitserland</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Canada</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30</v>
      </c>
      <c r="O22" s="643" t="s">
        <v>26</v>
      </c>
      <c r="P22" s="678" t="str">
        <f>INDEX('World Cup'!$B$13:$AJ$38,1,1+(CODE($B$1)-65)*3)</f>
        <v>Canada</v>
      </c>
      <c r="Q22" s="679" t="str">
        <f>INDEX('World Cup'!$B$13:$AJ$38,1,2+(CODE($B$1)-65)*3)</f>
        <v>Bosnië/Herzeg.</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CanadaBosnië/Herzeg.</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Bosnië/Herzeg.</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65</v>
      </c>
      <c r="O23" s="655" t="s">
        <v>27</v>
      </c>
      <c r="P23" s="681" t="str">
        <f>INDEX('World Cup'!$B$13:$AJ$38,6,1+(CODE($B$1)-65)*3)</f>
        <v>Qatar</v>
      </c>
      <c r="Q23" s="682" t="str">
        <f>INDEX('World Cup'!$B$13:$AJ$38,6,2+(CODE($B$1)-65)*3)</f>
        <v>Zwitserland</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QatarZwitserland</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Qatar</v>
      </c>
      <c r="E24" s="700">
        <f t="shared" si="36"/>
        <v>0</v>
      </c>
      <c r="F24" s="582">
        <f t="shared" si="37"/>
        <v>0</v>
      </c>
      <c r="G24" s="707">
        <f t="shared" si="38"/>
        <v>0</v>
      </c>
      <c r="H24" s="639" t="str">
        <v/>
      </c>
      <c r="I24" s="582" t="str">
        <v/>
      </c>
      <c r="J24" s="640" t="str">
        <v/>
      </c>
      <c r="K24" s="703" t="str">
        <v/>
      </c>
      <c r="L24" s="691" t="b">
        <f t="shared" si="39"/>
        <v>0</v>
      </c>
      <c r="M24" s="691" t="b">
        <v>0</v>
      </c>
      <c r="N24" s="582">
        <f t="shared" si="40"/>
        <v>55</v>
      </c>
      <c r="O24" s="655" t="s">
        <v>28</v>
      </c>
      <c r="P24" s="681" t="str">
        <f>INDEX('World Cup'!$B$13:$AJ$38,11,1+(CODE($B$1)-65)*3)</f>
        <v>Zwitserland</v>
      </c>
      <c r="Q24" s="682" t="str">
        <f>INDEX('World Cup'!$B$13:$AJ$38,11,2+(CODE($B$1)-65)*3)</f>
        <v>Bosnië/Herzeg.</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ZwitserlandBosnië/Herzeg.</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Zwitserland</v>
      </c>
      <c r="E25" s="708">
        <f t="shared" si="36"/>
        <v>0</v>
      </c>
      <c r="F25" s="642">
        <f t="shared" si="37"/>
        <v>0</v>
      </c>
      <c r="G25" s="709">
        <f t="shared" si="38"/>
        <v>0</v>
      </c>
      <c r="H25" s="641" t="str">
        <v/>
      </c>
      <c r="I25" s="642" t="str">
        <v/>
      </c>
      <c r="J25" s="642" t="str">
        <v/>
      </c>
      <c r="K25" s="704" t="str">
        <v/>
      </c>
      <c r="L25" s="691" t="b">
        <f t="shared" si="39"/>
        <v>0</v>
      </c>
      <c r="M25" s="691" t="b">
        <v>0</v>
      </c>
      <c r="N25" s="582">
        <f t="shared" si="40"/>
        <v>19</v>
      </c>
      <c r="O25" s="655" t="s">
        <v>29</v>
      </c>
      <c r="P25" s="681" t="str">
        <f>INDEX('World Cup'!$B$13:$AJ$38,16,1+(CODE($B$1)-65)*3)</f>
        <v>Canada</v>
      </c>
      <c r="Q25" s="682" t="str">
        <f>INDEX('World Cup'!$B$13:$AJ$38,16,2+(CODE($B$1)-65)*3)</f>
        <v>Qatar</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CanadaQatar</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Zwitserland</v>
      </c>
      <c r="Q26" s="682" t="str">
        <f>INDEX('World Cup'!$B$13:$AJ$38,21,2+(CODE($B$1)-65)*3)</f>
        <v>Canada</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ZwitserlandCanada</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Bosnië/Herzeg.</v>
      </c>
      <c r="Q27" s="685" t="str">
        <f>INDEX('World Cup'!$B$13:$AJ$38,26,2+(CODE($B$1)-65)*3)</f>
        <v>Qatar</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Bosnië/Herzeg.Qatar</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Bosnië/Herzeg.Canada</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ZwitserlandQatar</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Bosnië/Herzeg.Zwitserland</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QatarCanada</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CanadaZwitserland</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QatarBosnië/Herzeg.</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4.5" zeroHeight="1"/>
  <cols>
    <col min="1" max="1" width="11.453125" customWidth="1"/>
    <col min="2" max="2" width="21.54296875" style="169" customWidth="1"/>
    <col min="3" max="3" width="10.26953125" customWidth="1"/>
    <col min="4" max="4" width="18" customWidth="1"/>
    <col min="5" max="5" width="19" customWidth="1"/>
    <col min="6" max="6" width="9.26953125" customWidth="1"/>
    <col min="7" max="7" width="8.7265625" style="22" customWidth="1"/>
    <col min="8" max="8" width="9.81640625" style="22" customWidth="1"/>
    <col min="9" max="9" width="22" style="22" customWidth="1"/>
    <col min="10" max="10" width="12.7265625" customWidth="1"/>
    <col min="11" max="12" width="11.453125" customWidth="1"/>
    <col min="13" max="13" width="5.7265625" customWidth="1"/>
    <col min="14" max="14" width="19.26953125" customWidth="1"/>
    <col min="15" max="15" width="11.453125" customWidth="1"/>
    <col min="16" max="16384" width="11.453125" hidden="1"/>
  </cols>
  <sheetData>
    <row r="1" spans="1:14" ht="28.5">
      <c r="A1" s="90"/>
      <c r="B1" s="836" t="str">
        <f>Language!$E$250</f>
        <v>Dagelijkse planning</v>
      </c>
      <c r="C1" s="836"/>
      <c r="D1" s="836"/>
      <c r="E1" s="836"/>
      <c r="F1" s="836"/>
      <c r="G1" s="836"/>
      <c r="H1" s="836"/>
      <c r="I1" s="547"/>
    </row>
    <row r="2" spans="1:14" ht="29" thickBot="1">
      <c r="A2" s="89"/>
      <c r="B2" s="50"/>
      <c r="C2" s="50"/>
      <c r="D2" s="50"/>
      <c r="E2" s="50"/>
      <c r="F2" s="50"/>
      <c r="G2" s="50"/>
      <c r="H2" s="50"/>
      <c r="I2" s="50"/>
      <c r="M2" s="837" t="str">
        <f>Language!$E$261</f>
        <v>Kleur de favorieten</v>
      </c>
      <c r="N2" s="837"/>
    </row>
    <row r="3" spans="1:14" ht="15.5" thickTop="1" thickBot="1">
      <c r="A3" s="89"/>
      <c r="B3" s="476" t="str">
        <f>Language!$E$260</f>
        <v>Datum</v>
      </c>
      <c r="C3" s="477" t="str">
        <f>Language!$E$253</f>
        <v>Tijd</v>
      </c>
      <c r="D3" s="477" t="str">
        <f>Language!$E$254</f>
        <v>Team 1</v>
      </c>
      <c r="E3" s="558" t="str">
        <f>Language!$E$255</f>
        <v>Team 2</v>
      </c>
      <c r="F3" s="559" t="str">
        <f>Language!$E$251</f>
        <v>Spel nr</v>
      </c>
      <c r="G3" s="838" t="str">
        <f>Language!$E$252</f>
        <v>Teams</v>
      </c>
      <c r="H3" s="838"/>
      <c r="I3" s="559" t="str">
        <f>Language!$E$185</f>
        <v>Locatie</v>
      </c>
      <c r="J3" s="560" t="str">
        <f>Language!$E$184</f>
        <v>tv kanaal</v>
      </c>
      <c r="K3" s="548"/>
      <c r="M3" s="839" t="str">
        <f>Language!$E$262</f>
        <v>Vul hier de groepscode in</v>
      </c>
      <c r="N3" s="839"/>
    </row>
    <row r="4" spans="1:14">
      <c r="B4" s="478">
        <f>INDEX(Matches!$B$4:$J$113,MATCH($F4,Matches!$B$4:$B$113,0),5)</f>
        <v>46184.875</v>
      </c>
      <c r="C4" s="479">
        <f>INDEX(Matches!$B$4:$J$113,MATCH($F4,Matches!$B$4:$B$113,0),5)</f>
        <v>46184.875</v>
      </c>
      <c r="D4" s="480" t="str">
        <f>INDEX(Matches!$B$4:$J$113,MATCH($F4,Matches!$B$4:$B$113,0),8)</f>
        <v>Mexico</v>
      </c>
      <c r="E4" s="480" t="str">
        <f>INDEX(Matches!$B$4:$J$113,MATCH($F4,Matches!$B$4:$B$113,0),9)</f>
        <v>Zuid-Afrika</v>
      </c>
      <c r="F4" s="481">
        <v>1</v>
      </c>
      <c r="G4" s="482" t="str">
        <f>INDEX(Matches!$B$4:$J$113,MATCH($F4,Matches!$B$4:$B$113,0),2)</f>
        <v>A1</v>
      </c>
      <c r="H4" s="482" t="str">
        <f>INDEX(Matches!$B$4:$J$113,MATCH($F4,Matches!$B$4:$B$113,0),3)</f>
        <v>A2</v>
      </c>
      <c r="I4" s="482" t="str">
        <f>IFERROR(VLOOKUP($F4,Matches!$B$4:$H$113,7,0),"")</f>
        <v>Mexico City</v>
      </c>
      <c r="J4" s="713"/>
      <c r="K4" s="714"/>
      <c r="M4" s="839"/>
      <c r="N4" s="839"/>
    </row>
    <row r="5" spans="1:14">
      <c r="B5" s="478">
        <f>INDEX(Matches!$B$4:$J$113,MATCH($F5,Matches!$B$4:$B$113,0),5)</f>
        <v>46185.166666666664</v>
      </c>
      <c r="C5" s="479">
        <f>INDEX(Matches!$B$4:$J$113,MATCH($F5,Matches!$B$4:$B$113,0),5)</f>
        <v>46185.166666666664</v>
      </c>
      <c r="D5" s="480" t="str">
        <f>INDEX(Matches!$B$4:$J$113,MATCH($F5,Matches!$B$4:$B$113,0),8)</f>
        <v>Rep. Korea</v>
      </c>
      <c r="E5" s="480" t="str">
        <f>INDEX(Matches!$B$4:$J$113,MATCH($F5,Matches!$B$4:$B$113,0),9)</f>
        <v>Tsjechië</v>
      </c>
      <c r="F5" s="483">
        <v>2</v>
      </c>
      <c r="G5" s="482" t="str">
        <f>INDEX(Matches!$B$4:$J$113,MATCH($F5,Matches!$B$4:$B$113,0),2)</f>
        <v>A3</v>
      </c>
      <c r="H5" s="482" t="str">
        <f>INDEX(Matches!$B$4:$J$113,MATCH($F5,Matches!$B$4:$B$113,0),3)</f>
        <v>A4</v>
      </c>
      <c r="I5" s="482" t="str">
        <f>IFERROR(VLOOKUP($F5,Matches!$B$4:$H$113,7,0),"")</f>
        <v>Guadalajara</v>
      </c>
      <c r="J5" s="713"/>
      <c r="K5" s="714"/>
      <c r="M5" s="839"/>
      <c r="N5" s="839"/>
    </row>
    <row r="6" spans="1:14" ht="15.5" thickBot="1">
      <c r="B6" s="484"/>
      <c r="C6" s="485"/>
      <c r="D6" s="486"/>
      <c r="E6" s="486"/>
      <c r="F6" s="487"/>
      <c r="G6" s="488"/>
      <c r="H6" s="488"/>
      <c r="I6" s="488"/>
      <c r="J6" s="488"/>
      <c r="K6" s="489"/>
      <c r="M6" s="490" t="s">
        <v>1643</v>
      </c>
    </row>
    <row r="7" spans="1:14">
      <c r="B7" s="478">
        <f>INDEX(Matches!$B$4:$J$113,MATCH($F7,Matches!$B$4:$B$113,0),5)</f>
        <v>46185.875</v>
      </c>
      <c r="C7" s="479">
        <f>INDEX(Matches!$B$4:$J$113,MATCH($F7,Matches!$B$4:$B$113,0),5)</f>
        <v>46185.875</v>
      </c>
      <c r="D7" s="480" t="str">
        <f>INDEX(Matches!$B$4:$J$113,MATCH($F7,Matches!$B$4:$B$113,0),8)</f>
        <v>Canada</v>
      </c>
      <c r="E7" s="480" t="str">
        <f>INDEX(Matches!$B$4:$J$113,MATCH($F7,Matches!$B$4:$B$113,0),9)</f>
        <v>Bosnië/Herzeg.</v>
      </c>
      <c r="F7" s="483">
        <v>3</v>
      </c>
      <c r="G7" s="482" t="str">
        <f>INDEX(Matches!$B$4:$J$113,MATCH($F7,Matches!$B$4:$B$113,0),2)</f>
        <v>B1</v>
      </c>
      <c r="H7" s="482" t="str">
        <f>INDEX(Matches!$B$4:$J$113,MATCH($F7,Matches!$B$4:$B$113,0),3)</f>
        <v>B2</v>
      </c>
      <c r="I7" s="482" t="str">
        <f>IFERROR(VLOOKUP($F7,Matches!$B$4:$H$113,7,0),"")</f>
        <v>Toronto</v>
      </c>
      <c r="J7" s="713"/>
      <c r="K7" s="714"/>
      <c r="M7" s="491" t="s">
        <v>851</v>
      </c>
      <c r="N7" s="492" t="str">
        <f>IFERROR(VLOOKUP(M7,Groups!$B$7:$D$65,3,0),"")</f>
        <v>Engeland</v>
      </c>
    </row>
    <row r="8" spans="1:14">
      <c r="B8" s="478">
        <f>INDEX(Matches!$B$4:$J$113,MATCH($F8,Matches!$B$4:$B$113,0),5)</f>
        <v>46186.125</v>
      </c>
      <c r="C8" s="479">
        <f>INDEX(Matches!$B$4:$J$113,MATCH($F8,Matches!$B$4:$B$113,0),5)</f>
        <v>46186.125</v>
      </c>
      <c r="D8" s="480" t="str">
        <f>INDEX(Matches!$B$4:$J$113,MATCH($F8,Matches!$B$4:$B$113,0),8)</f>
        <v>USA</v>
      </c>
      <c r="E8" s="480" t="str">
        <f>INDEX(Matches!$B$4:$J$113,MATCH($F8,Matches!$B$4:$B$113,0),9)</f>
        <v>Paraguay</v>
      </c>
      <c r="F8" s="483">
        <v>4</v>
      </c>
      <c r="G8" s="482" t="str">
        <f>INDEX(Matches!$B$4:$J$113,MATCH($F8,Matches!$B$4:$B$113,0),2)</f>
        <v>D1</v>
      </c>
      <c r="H8" s="482" t="str">
        <f>INDEX(Matches!$B$4:$J$113,MATCH($F8,Matches!$B$4:$B$113,0),3)</f>
        <v>D2</v>
      </c>
      <c r="I8" s="482" t="str">
        <f>IFERROR(VLOOKUP($F8,Matches!$B$4:$H$113,7,0),"")</f>
        <v>Los Angeles</v>
      </c>
      <c r="J8" s="713"/>
      <c r="K8" s="714"/>
      <c r="M8" s="493" t="s">
        <v>180</v>
      </c>
      <c r="N8" s="494" t="str">
        <f>IFERROR(VLOOKUP(M8,Groups!$B$7:$D$65,3,0),"")</f>
        <v>USA</v>
      </c>
    </row>
    <row r="9" spans="1:14">
      <c r="B9" s="484"/>
      <c r="C9" s="485"/>
      <c r="D9" s="486"/>
      <c r="E9" s="486"/>
      <c r="F9" s="487"/>
      <c r="G9" s="488"/>
      <c r="H9" s="488"/>
      <c r="I9" s="488"/>
      <c r="J9" s="488"/>
      <c r="K9" s="489"/>
      <c r="M9" s="493" t="s">
        <v>174</v>
      </c>
      <c r="N9" s="495" t="str">
        <f>IFERROR(VLOOKUP(M9,Groups!$B$7:$D$65,3,0),"")</f>
        <v>Canada</v>
      </c>
    </row>
    <row r="10" spans="1:14" ht="15" thickBot="1">
      <c r="B10" s="484">
        <f>INDEX(Matches!$B$4:$J$113,MATCH($F10,Matches!$B$4:$B$113,0),5)</f>
        <v>46186.875</v>
      </c>
      <c r="C10" s="485">
        <f>INDEX(Matches!$B$4:$J$113,MATCH($F10,Matches!$B$4:$B$113,0),5)</f>
        <v>46186.875</v>
      </c>
      <c r="D10" s="783" t="str">
        <f>INDEX(Matches!$B$4:$J$113,MATCH($F10,Matches!$B$4:$B$113,0),8)</f>
        <v>Qatar</v>
      </c>
      <c r="E10" s="783" t="str">
        <f>INDEX(Matches!$B$4:$J$113,MATCH($F10,Matches!$B$4:$B$113,0),9)</f>
        <v>Zwitserland</v>
      </c>
      <c r="F10" s="487">
        <v>8</v>
      </c>
      <c r="G10" s="488" t="str">
        <f>INDEX(Matches!$B$4:$J$113,MATCH($F10,Matches!$B$4:$B$113,0),2)</f>
        <v>B3</v>
      </c>
      <c r="H10" s="488" t="str">
        <f>INDEX(Matches!$B$4:$J$113,MATCH($F10,Matches!$B$4:$B$113,0),3)</f>
        <v>B4</v>
      </c>
      <c r="I10" s="488" t="str">
        <f>IFERROR(VLOOKUP($F10,Matches!$B$4:$H$113,7,0),"")</f>
        <v>San Francisco Bay Area</v>
      </c>
      <c r="J10" s="713"/>
      <c r="K10" s="714"/>
      <c r="M10" s="496" t="s">
        <v>171</v>
      </c>
      <c r="N10" s="497" t="str">
        <f>IFERROR(VLOOKUP(M10,Groups!$B$7:$D$65,3,0),"")</f>
        <v>Mexico</v>
      </c>
    </row>
    <row r="11" spans="1:14">
      <c r="B11" s="478">
        <f>INDEX(Matches!$B$4:$J$113,MATCH($F11,Matches!$B$4:$B$113,0),5)</f>
        <v>46187</v>
      </c>
      <c r="C11" s="479">
        <f>INDEX(Matches!$B$4:$J$113,MATCH($F11,Matches!$B$4:$B$113,0),5)</f>
        <v>46187</v>
      </c>
      <c r="D11" s="480" t="str">
        <f>INDEX(Matches!$B$4:$J$113,MATCH($F11,Matches!$B$4:$B$113,0),8)</f>
        <v>Brazilië</v>
      </c>
      <c r="E11" s="480" t="str">
        <f>INDEX(Matches!$B$4:$J$113,MATCH($F11,Matches!$B$4:$B$113,0),9)</f>
        <v>Marokko</v>
      </c>
      <c r="F11" s="483">
        <v>7</v>
      </c>
      <c r="G11" s="482" t="str">
        <f>INDEX(Matches!$B$4:$J$113,MATCH($F11,Matches!$B$4:$B$113,0),2)</f>
        <v>C1</v>
      </c>
      <c r="H11" s="482" t="str">
        <f>INDEX(Matches!$B$4:$J$113,MATCH($F11,Matches!$B$4:$B$113,0),3)</f>
        <v>C2</v>
      </c>
      <c r="I11" s="482" t="str">
        <f>IFERROR(VLOOKUP($F11,Matches!$B$4:$H$113,7,0),"")</f>
        <v>New York/New Jersey</v>
      </c>
      <c r="J11" s="713"/>
      <c r="K11" s="714"/>
    </row>
    <row r="12" spans="1:14">
      <c r="B12" s="478">
        <f>INDEX(Matches!$B$4:$J$113,MATCH($F12,Matches!$B$4:$B$113,0),5)</f>
        <v>46187.125</v>
      </c>
      <c r="C12" s="479">
        <f>INDEX(Matches!$B$4:$J$113,MATCH($F12,Matches!$B$4:$B$113,0),5)</f>
        <v>46187.125</v>
      </c>
      <c r="D12" s="480" t="str">
        <f>INDEX(Matches!$B$4:$J$113,MATCH($F12,Matches!$B$4:$B$113,0),8)</f>
        <v>Haïti</v>
      </c>
      <c r="E12" s="480" t="str">
        <f>INDEX(Matches!$B$4:$J$113,MATCH($F12,Matches!$B$4:$B$113,0),9)</f>
        <v>Schotland</v>
      </c>
      <c r="F12" s="483">
        <v>5</v>
      </c>
      <c r="G12" s="482" t="str">
        <f>INDEX(Matches!$B$4:$J$113,MATCH($F12,Matches!$B$4:$B$113,0),2)</f>
        <v>C3</v>
      </c>
      <c r="H12" s="482" t="str">
        <f>INDEX(Matches!$B$4:$J$113,MATCH($F12,Matches!$B$4:$B$113,0),3)</f>
        <v>C4</v>
      </c>
      <c r="I12" s="482" t="str">
        <f>IFERROR(VLOOKUP($F12,Matches!$B$4:$H$113,7,0),"")</f>
        <v>Boston</v>
      </c>
      <c r="J12" s="713"/>
      <c r="K12" s="714"/>
    </row>
    <row r="13" spans="1:14">
      <c r="B13" s="478">
        <f>INDEX(Matches!$B$4:$J$113,MATCH($F13,Matches!$B$4:$B$113,0),5)</f>
        <v>46187.25</v>
      </c>
      <c r="C13" s="479">
        <f>INDEX(Matches!$B$4:$J$113,MATCH($F13,Matches!$B$4:$B$113,0),5)</f>
        <v>46187.25</v>
      </c>
      <c r="D13" s="480" t="str">
        <f>INDEX(Matches!$B$4:$J$113,MATCH($F13,Matches!$B$4:$B$113,0),8)</f>
        <v>Australië</v>
      </c>
      <c r="E13" s="480" t="str">
        <f>INDEX(Matches!$B$4:$J$113,MATCH($F13,Matches!$B$4:$B$113,0),9)</f>
        <v>Turkije</v>
      </c>
      <c r="F13" s="483">
        <v>6</v>
      </c>
      <c r="G13" s="482" t="str">
        <f>INDEX(Matches!$B$4:$J$113,MATCH($F13,Matches!$B$4:$B$113,0),2)</f>
        <v>D3</v>
      </c>
      <c r="H13" s="482" t="str">
        <f>INDEX(Matches!$B$4:$J$113,MATCH($F13,Matches!$B$4:$B$113,0),3)</f>
        <v>D4</v>
      </c>
      <c r="I13" s="482" t="str">
        <f>IFERROR(VLOOKUP($F13,Matches!$B$4:$H$113,7,0),"")</f>
        <v>Vancouver</v>
      </c>
      <c r="J13" s="713"/>
      <c r="K13" s="714"/>
    </row>
    <row r="14" spans="1:14">
      <c r="B14" s="484"/>
      <c r="C14" s="485"/>
      <c r="D14" s="486"/>
      <c r="E14" s="486"/>
      <c r="F14" s="487"/>
      <c r="G14" s="488"/>
      <c r="H14" s="488"/>
      <c r="I14" s="488"/>
      <c r="J14" s="488"/>
      <c r="K14" s="489"/>
    </row>
    <row r="15" spans="1:14">
      <c r="B15" s="478">
        <f>INDEX(Matches!$B$4:$J$113,MATCH($F15,Matches!$B$4:$B$113,0),5)</f>
        <v>46187.791666666664</v>
      </c>
      <c r="C15" s="479">
        <f>INDEX(Matches!$B$4:$J$113,MATCH($F15,Matches!$B$4:$B$113,0),5)</f>
        <v>46187.791666666664</v>
      </c>
      <c r="D15" s="480" t="str">
        <f>INDEX(Matches!$B$4:$J$113,MATCH($F15,Matches!$B$4:$B$113,0),8)</f>
        <v>Duitsland</v>
      </c>
      <c r="E15" s="480" t="str">
        <f>INDEX(Matches!$B$4:$J$113,MATCH($F15,Matches!$B$4:$B$113,0),9)</f>
        <v>Curacao</v>
      </c>
      <c r="F15" s="483">
        <v>10</v>
      </c>
      <c r="G15" s="482" t="str">
        <f>INDEX(Matches!$B$4:$J$113,MATCH($F15,Matches!$B$4:$B$113,0),2)</f>
        <v>E1</v>
      </c>
      <c r="H15" s="482" t="str">
        <f>INDEX(Matches!$B$4:$J$113,MATCH($F15,Matches!$B$4:$B$113,0),3)</f>
        <v>E2</v>
      </c>
      <c r="I15" s="482" t="str">
        <f>IFERROR(VLOOKUP($F15,Matches!$B$4:$H$113,7,0),"")</f>
        <v>Houston</v>
      </c>
      <c r="J15" s="713"/>
      <c r="K15" s="714"/>
    </row>
    <row r="16" spans="1:14">
      <c r="B16" s="478">
        <f>INDEX(Matches!$B$4:$J$113,MATCH($F16,Matches!$B$4:$B$113,0),5)</f>
        <v>46187.916666666664</v>
      </c>
      <c r="C16" s="479">
        <f>INDEX(Matches!$B$4:$J$113,MATCH($F16,Matches!$B$4:$B$113,0),5)</f>
        <v>46187.916666666664</v>
      </c>
      <c r="D16" s="480" t="str">
        <f>INDEX(Matches!$B$4:$J$113,MATCH($F16,Matches!$B$4:$B$113,0),8)</f>
        <v>Nederland</v>
      </c>
      <c r="E16" s="480" t="str">
        <f>INDEX(Matches!$B$4:$J$113,MATCH($F16,Matches!$B$4:$B$113,0),9)</f>
        <v>Japan</v>
      </c>
      <c r="F16" s="483">
        <v>11</v>
      </c>
      <c r="G16" s="482" t="str">
        <f>INDEX(Matches!$B$4:$J$113,MATCH($F16,Matches!$B$4:$B$113,0),2)</f>
        <v>F1</v>
      </c>
      <c r="H16" s="482" t="str">
        <f>INDEX(Matches!$B$4:$J$113,MATCH($F16,Matches!$B$4:$B$113,0),3)</f>
        <v>F2</v>
      </c>
      <c r="I16" s="482" t="str">
        <f>IFERROR(VLOOKUP($F16,Matches!$B$4:$H$113,7,0),"")</f>
        <v>Dallas</v>
      </c>
      <c r="J16" s="713"/>
      <c r="K16" s="714"/>
    </row>
    <row r="17" spans="2:11">
      <c r="B17" s="478">
        <f>INDEX(Matches!$B$4:$J$113,MATCH($F17,Matches!$B$4:$B$113,0),5)</f>
        <v>46188.041666666664</v>
      </c>
      <c r="C17" s="479">
        <f>INDEX(Matches!$B$4:$J$113,MATCH($F17,Matches!$B$4:$B$113,0),5)</f>
        <v>46188.041666666664</v>
      </c>
      <c r="D17" s="480" t="str">
        <f>INDEX(Matches!$B$4:$J$113,MATCH($F17,Matches!$B$4:$B$113,0),8)</f>
        <v>Ivoorkust</v>
      </c>
      <c r="E17" s="480" t="str">
        <f>INDEX(Matches!$B$4:$J$113,MATCH($F17,Matches!$B$4:$B$113,0),9)</f>
        <v>Ecuador</v>
      </c>
      <c r="F17" s="483">
        <v>9</v>
      </c>
      <c r="G17" s="482" t="str">
        <f>INDEX(Matches!$B$4:$J$113,MATCH($F17,Matches!$B$4:$B$113,0),2)</f>
        <v>E3</v>
      </c>
      <c r="H17" s="482" t="str">
        <f>INDEX(Matches!$B$4:$J$113,MATCH($F17,Matches!$B$4:$B$113,0),3)</f>
        <v>E4</v>
      </c>
      <c r="I17" s="482" t="str">
        <f>IFERROR(VLOOKUP($F17,Matches!$B$4:$H$113,7,0),"")</f>
        <v>Philadelphia</v>
      </c>
      <c r="J17" s="713"/>
      <c r="K17" s="714"/>
    </row>
    <row r="18" spans="2:11">
      <c r="B18" s="478">
        <f>INDEX(Matches!$B$4:$J$113,MATCH($F18,Matches!$B$4:$B$113,0),5)</f>
        <v>46188.166666666664</v>
      </c>
      <c r="C18" s="479">
        <f>INDEX(Matches!$B$4:$J$113,MATCH($F18,Matches!$B$4:$B$113,0),5)</f>
        <v>46188.166666666664</v>
      </c>
      <c r="D18" s="480" t="str">
        <f>INDEX(Matches!$B$4:$J$113,MATCH($F18,Matches!$B$4:$B$113,0),8)</f>
        <v>Zweden</v>
      </c>
      <c r="E18" s="480" t="str">
        <f>INDEX(Matches!$B$4:$J$113,MATCH($F18,Matches!$B$4:$B$113,0),9)</f>
        <v>Tunesië</v>
      </c>
      <c r="F18" s="483">
        <v>12</v>
      </c>
      <c r="G18" s="482" t="str">
        <f>INDEX(Matches!$B$4:$J$113,MATCH($F18,Matches!$B$4:$B$113,0),2)</f>
        <v>F3</v>
      </c>
      <c r="H18" s="482" t="str">
        <f>INDEX(Matches!$B$4:$J$113,MATCH($F18,Matches!$B$4:$B$113,0),3)</f>
        <v>F4</v>
      </c>
      <c r="I18" s="482" t="str">
        <f>IFERROR(VLOOKUP($F18,Matches!$B$4:$H$113,7,0),"")</f>
        <v>Monterrey</v>
      </c>
      <c r="J18" s="713"/>
      <c r="K18" s="714"/>
    </row>
    <row r="19" spans="2:11">
      <c r="B19" s="484"/>
      <c r="C19" s="485"/>
      <c r="D19" s="486"/>
      <c r="E19" s="486"/>
      <c r="F19" s="487"/>
      <c r="G19" s="488"/>
      <c r="H19" s="488"/>
      <c r="I19" s="488"/>
      <c r="J19" s="488"/>
      <c r="K19" s="489"/>
    </row>
    <row r="20" spans="2:11">
      <c r="B20" s="478">
        <f>INDEX(Matches!$B$4:$J$113,MATCH($F20,Matches!$B$4:$B$113,0),5)</f>
        <v>46188.75</v>
      </c>
      <c r="C20" s="479">
        <f>INDEX(Matches!$B$4:$J$113,MATCH($F20,Matches!$B$4:$B$113,0),5)</f>
        <v>46188.75</v>
      </c>
      <c r="D20" s="480" t="str">
        <f>INDEX(Matches!$B$4:$J$113,MATCH($F20,Matches!$B$4:$B$113,0),8)</f>
        <v>Spanje</v>
      </c>
      <c r="E20" s="480" t="str">
        <f>INDEX(Matches!$B$4:$J$113,MATCH($F20,Matches!$B$4:$B$113,0),9)</f>
        <v>Kaapverdië</v>
      </c>
      <c r="F20" s="483">
        <v>14</v>
      </c>
      <c r="G20" s="482" t="str">
        <f>INDEX(Matches!$B$4:$J$113,MATCH($F20,Matches!$B$4:$B$113,0),2)</f>
        <v>H1</v>
      </c>
      <c r="H20" s="482" t="str">
        <f>INDEX(Matches!$B$4:$J$113,MATCH($F20,Matches!$B$4:$B$113,0),3)</f>
        <v>H2</v>
      </c>
      <c r="I20" s="482" t="str">
        <f>IFERROR(VLOOKUP($F20,Matches!$B$4:$H$113,7,0),"")</f>
        <v>Atlanta</v>
      </c>
      <c r="J20" s="713"/>
      <c r="K20" s="714"/>
    </row>
    <row r="21" spans="2:11">
      <c r="B21" s="478">
        <f>INDEX(Matches!$B$4:$J$113,MATCH($F21,Matches!$B$4:$B$113,0),5)</f>
        <v>46188.875</v>
      </c>
      <c r="C21" s="479">
        <f>INDEX(Matches!$B$4:$J$113,MATCH($F21,Matches!$B$4:$B$113,0),5)</f>
        <v>46188.875</v>
      </c>
      <c r="D21" s="480" t="str">
        <f>INDEX(Matches!$B$4:$J$113,MATCH($F21,Matches!$B$4:$B$113,0),8)</f>
        <v>België</v>
      </c>
      <c r="E21" s="480" t="str">
        <f>INDEX(Matches!$B$4:$J$113,MATCH($F21,Matches!$B$4:$B$113,0),9)</f>
        <v>Egypte</v>
      </c>
      <c r="F21" s="483">
        <v>16</v>
      </c>
      <c r="G21" s="482" t="str">
        <f>INDEX(Matches!$B$4:$J$113,MATCH($F21,Matches!$B$4:$B$113,0),2)</f>
        <v>G1</v>
      </c>
      <c r="H21" s="482" t="str">
        <f>INDEX(Matches!$B$4:$J$113,MATCH($F21,Matches!$B$4:$B$113,0),3)</f>
        <v>G2</v>
      </c>
      <c r="I21" s="482" t="str">
        <f>IFERROR(VLOOKUP($F21,Matches!$B$4:$H$113,7,0),"")</f>
        <v>Seattle</v>
      </c>
      <c r="J21" s="713"/>
      <c r="K21" s="714"/>
    </row>
    <row r="22" spans="2:11">
      <c r="B22" s="478">
        <f>INDEX(Matches!$B$4:$J$113,MATCH($F22,Matches!$B$4:$B$113,0),5)</f>
        <v>46189</v>
      </c>
      <c r="C22" s="479">
        <f>INDEX(Matches!$B$4:$J$113,MATCH($F22,Matches!$B$4:$B$113,0),5)</f>
        <v>46189</v>
      </c>
      <c r="D22" s="480" t="str">
        <f>INDEX(Matches!$B$4:$J$113,MATCH($F22,Matches!$B$4:$B$113,0),8)</f>
        <v>Saoedi-Arabië</v>
      </c>
      <c r="E22" s="480" t="str">
        <f>INDEX(Matches!$B$4:$J$113,MATCH($F22,Matches!$B$4:$B$113,0),9)</f>
        <v>Uruguay</v>
      </c>
      <c r="F22" s="483">
        <v>13</v>
      </c>
      <c r="G22" s="482" t="str">
        <f>INDEX(Matches!$B$4:$J$113,MATCH($F22,Matches!$B$4:$B$113,0),2)</f>
        <v>H3</v>
      </c>
      <c r="H22" s="482" t="str">
        <f>INDEX(Matches!$B$4:$J$113,MATCH($F22,Matches!$B$4:$B$113,0),3)</f>
        <v>H4</v>
      </c>
      <c r="I22" s="482" t="str">
        <f>IFERROR(VLOOKUP($F22,Matches!$B$4:$H$113,7,0),"")</f>
        <v>Miami</v>
      </c>
      <c r="J22" s="713"/>
      <c r="K22" s="714"/>
    </row>
    <row r="23" spans="2:11">
      <c r="B23" s="484">
        <f>INDEX(Matches!$B$4:$J$113,MATCH($F23,Matches!$B$4:$B$113,0),5)</f>
        <v>46189.125</v>
      </c>
      <c r="C23" s="485">
        <f>INDEX(Matches!$B$4:$J$113,MATCH($F23,Matches!$B$4:$B$113,0),5)</f>
        <v>46189.125</v>
      </c>
      <c r="D23" s="783" t="str">
        <f>INDEX(Matches!$B$4:$J$113,MATCH($F23,Matches!$B$4:$B$113,0),8)</f>
        <v>IR Iran</v>
      </c>
      <c r="E23" s="783" t="str">
        <f>INDEX(Matches!$B$4:$J$113,MATCH($F23,Matches!$B$4:$B$113,0),9)</f>
        <v>Nieuw-Zeeland</v>
      </c>
      <c r="F23" s="487">
        <v>15</v>
      </c>
      <c r="G23" s="488" t="str">
        <f>INDEX(Matches!$B$4:$J$113,MATCH($F23,Matches!$B$4:$B$113,0),2)</f>
        <v>G3</v>
      </c>
      <c r="H23" s="488" t="str">
        <f>INDEX(Matches!$B$4:$J$113,MATCH($F23,Matches!$B$4:$B$113,0),3)</f>
        <v>G4</v>
      </c>
      <c r="I23" s="488" t="str">
        <f>IFERROR(VLOOKUP($F23,Matches!$B$4:$H$113,7,0),"")</f>
        <v>Los Angeles</v>
      </c>
      <c r="J23" s="713"/>
      <c r="K23" s="714"/>
    </row>
    <row r="24" spans="2:11">
      <c r="B24" s="484"/>
      <c r="C24" s="485"/>
      <c r="D24" s="486"/>
      <c r="E24" s="486"/>
      <c r="F24" s="487"/>
      <c r="G24" s="488"/>
      <c r="H24" s="488"/>
      <c r="I24" s="488"/>
      <c r="J24" s="488"/>
      <c r="K24" s="489"/>
    </row>
    <row r="25" spans="2:11">
      <c r="B25" s="478">
        <f>INDEX(Matches!$B$4:$J$113,MATCH($F25,Matches!$B$4:$B$113,0),5)</f>
        <v>46189.875</v>
      </c>
      <c r="C25" s="479">
        <f>INDEX(Matches!$B$4:$J$113,MATCH($F25,Matches!$B$4:$B$113,0),5)</f>
        <v>46189.875</v>
      </c>
      <c r="D25" s="480" t="str">
        <f>INDEX(Matches!$B$4:$J$113,MATCH($F25,Matches!$B$4:$B$113,0),8)</f>
        <v>Frankrijk</v>
      </c>
      <c r="E25" s="480" t="str">
        <f>INDEX(Matches!$B$4:$J$113,MATCH($F25,Matches!$B$4:$B$113,0),9)</f>
        <v>Senegal</v>
      </c>
      <c r="F25" s="483">
        <v>17</v>
      </c>
      <c r="G25" s="482" t="str">
        <f>INDEX(Matches!$B$4:$J$113,MATCH($F25,Matches!$B$4:$B$113,0),2)</f>
        <v>I1</v>
      </c>
      <c r="H25" s="482" t="str">
        <f>INDEX(Matches!$B$4:$J$113,MATCH($F25,Matches!$B$4:$B$113,0),3)</f>
        <v>I2</v>
      </c>
      <c r="I25" s="482" t="str">
        <f>IFERROR(VLOOKUP($F25,Matches!$B$4:$H$113,7,0),"")</f>
        <v>New York/New Jersey</v>
      </c>
      <c r="J25" s="713"/>
      <c r="K25" s="714"/>
    </row>
    <row r="26" spans="2:11">
      <c r="B26" s="478">
        <f>INDEX(Matches!$B$4:$J$113,MATCH($F26,Matches!$B$4:$B$113,0),5)</f>
        <v>46190</v>
      </c>
      <c r="C26" s="479">
        <f>INDEX(Matches!$B$4:$J$113,MATCH($F26,Matches!$B$4:$B$113,0),5)</f>
        <v>46190</v>
      </c>
      <c r="D26" s="480" t="str">
        <f>INDEX(Matches!$B$4:$J$113,MATCH($F26,Matches!$B$4:$B$113,0),8)</f>
        <v>Irak</v>
      </c>
      <c r="E26" s="480" t="str">
        <f>INDEX(Matches!$B$4:$J$113,MATCH($F26,Matches!$B$4:$B$113,0),9)</f>
        <v>Noorwegen</v>
      </c>
      <c r="F26" s="483">
        <v>18</v>
      </c>
      <c r="G26" s="482" t="str">
        <f>INDEX(Matches!$B$4:$J$113,MATCH($F26,Matches!$B$4:$B$113,0),2)</f>
        <v>I3</v>
      </c>
      <c r="H26" s="482" t="str">
        <f>INDEX(Matches!$B$4:$J$113,MATCH($F26,Matches!$B$4:$B$113,0),3)</f>
        <v>I4</v>
      </c>
      <c r="I26" s="482" t="str">
        <f>IFERROR(VLOOKUP($F26,Matches!$B$4:$H$113,7,0),"")</f>
        <v>Boston</v>
      </c>
      <c r="J26" s="713"/>
      <c r="K26" s="714"/>
    </row>
    <row r="27" spans="2:11">
      <c r="B27" s="478">
        <f>INDEX(Matches!$B$4:$J$113,MATCH($F27,Matches!$B$4:$B$113,0),5)</f>
        <v>46190.125</v>
      </c>
      <c r="C27" s="479">
        <f>INDEX(Matches!$B$4:$J$113,MATCH($F27,Matches!$B$4:$B$113,0),5)</f>
        <v>46190.125</v>
      </c>
      <c r="D27" s="480" t="str">
        <f>INDEX(Matches!$B$4:$J$113,MATCH($F27,Matches!$B$4:$B$113,0),8)</f>
        <v>Argentinië</v>
      </c>
      <c r="E27" s="480" t="str">
        <f>INDEX(Matches!$B$4:$J$113,MATCH($F27,Matches!$B$4:$B$113,0),9)</f>
        <v>Algerije</v>
      </c>
      <c r="F27" s="483">
        <v>19</v>
      </c>
      <c r="G27" s="482" t="str">
        <f>INDEX(Matches!$B$4:$J$113,MATCH($F27,Matches!$B$4:$B$113,0),2)</f>
        <v>J1</v>
      </c>
      <c r="H27" s="482" t="str">
        <f>INDEX(Matches!$B$4:$J$113,MATCH($F27,Matches!$B$4:$B$113,0),3)</f>
        <v>J2</v>
      </c>
      <c r="I27" s="482" t="str">
        <f>IFERROR(VLOOKUP($F27,Matches!$B$4:$H$113,7,0),"")</f>
        <v>Kansas City</v>
      </c>
      <c r="J27" s="713"/>
      <c r="K27" s="714"/>
    </row>
    <row r="28" spans="2:11">
      <c r="B28" s="478">
        <f>INDEX(Matches!$B$4:$J$113,MATCH($F28,Matches!$B$4:$B$113,0),5)</f>
        <v>46190.25</v>
      </c>
      <c r="C28" s="479">
        <f>INDEX(Matches!$B$4:$J$113,MATCH($F28,Matches!$B$4:$B$113,0),5)</f>
        <v>46190.25</v>
      </c>
      <c r="D28" s="480" t="str">
        <f>INDEX(Matches!$B$4:$J$113,MATCH($F28,Matches!$B$4:$B$113,0),8)</f>
        <v>Oostenrijk</v>
      </c>
      <c r="E28" s="480" t="str">
        <f>INDEX(Matches!$B$4:$J$113,MATCH($F28,Matches!$B$4:$B$113,0),9)</f>
        <v>Jordanië</v>
      </c>
      <c r="F28" s="483">
        <v>20</v>
      </c>
      <c r="G28" s="482" t="str">
        <f>INDEX(Matches!$B$4:$J$113,MATCH($F28,Matches!$B$4:$B$113,0),2)</f>
        <v>J3</v>
      </c>
      <c r="H28" s="482" t="str">
        <f>INDEX(Matches!$B$4:$J$113,MATCH($F28,Matches!$B$4:$B$113,0),3)</f>
        <v>J4</v>
      </c>
      <c r="I28" s="482" t="str">
        <f>IFERROR(VLOOKUP($F28,Matches!$B$4:$H$113,7,0),"")</f>
        <v>San Francisco Bay Area</v>
      </c>
      <c r="J28" s="713"/>
      <c r="K28" s="714"/>
    </row>
    <row r="29" spans="2:11">
      <c r="B29" s="484"/>
      <c r="C29" s="485"/>
      <c r="D29" s="486"/>
      <c r="E29" s="486"/>
      <c r="F29" s="487"/>
      <c r="G29" s="488"/>
      <c r="H29" s="488"/>
      <c r="I29" s="488"/>
      <c r="J29" s="488"/>
      <c r="K29" s="489"/>
    </row>
    <row r="30" spans="2:11">
      <c r="B30" s="478">
        <f>INDEX(Matches!$B$4:$J$113,MATCH($F30,Matches!$B$4:$B$113,0),5)</f>
        <v>46190.791666666664</v>
      </c>
      <c r="C30" s="479">
        <f>INDEX(Matches!$B$4:$J$113,MATCH($F30,Matches!$B$4:$B$113,0),5)</f>
        <v>46190.791666666664</v>
      </c>
      <c r="D30" s="480" t="str">
        <f>INDEX(Matches!$B$4:$J$113,MATCH($F30,Matches!$B$4:$B$113,0),8)</f>
        <v>Portugal</v>
      </c>
      <c r="E30" s="480" t="str">
        <f>INDEX(Matches!$B$4:$J$113,MATCH($F30,Matches!$B$4:$B$113,0),9)</f>
        <v>DR Congo</v>
      </c>
      <c r="F30" s="483">
        <v>23</v>
      </c>
      <c r="G30" s="482" t="str">
        <f>INDEX(Matches!$B$4:$J$113,MATCH($F30,Matches!$B$4:$B$113,0),2)</f>
        <v>K1</v>
      </c>
      <c r="H30" s="482" t="str">
        <f>INDEX(Matches!$B$4:$J$113,MATCH($F30,Matches!$B$4:$B$113,0),3)</f>
        <v>K2</v>
      </c>
      <c r="I30" s="482" t="str">
        <f>IFERROR(VLOOKUP($F30,Matches!$B$4:$H$113,7,0),"")</f>
        <v>Houston</v>
      </c>
      <c r="J30" s="713"/>
      <c r="K30" s="714"/>
    </row>
    <row r="31" spans="2:11">
      <c r="B31" s="478">
        <f>INDEX(Matches!$B$4:$J$113,MATCH($F31,Matches!$B$4:$B$113,0),5)</f>
        <v>46190.916666666664</v>
      </c>
      <c r="C31" s="479">
        <f>INDEX(Matches!$B$4:$J$113,MATCH($F31,Matches!$B$4:$B$113,0),5)</f>
        <v>46190.916666666664</v>
      </c>
      <c r="D31" s="480" t="str">
        <f>INDEX(Matches!$B$4:$J$113,MATCH($F31,Matches!$B$4:$B$113,0),8)</f>
        <v>Engeland</v>
      </c>
      <c r="E31" s="480" t="str">
        <f>INDEX(Matches!$B$4:$J$113,MATCH($F31,Matches!$B$4:$B$113,0),9)</f>
        <v>Kroatië</v>
      </c>
      <c r="F31" s="483">
        <v>22</v>
      </c>
      <c r="G31" s="482" t="str">
        <f>INDEX(Matches!$B$4:$J$113,MATCH($F31,Matches!$B$4:$B$113,0),2)</f>
        <v>L1</v>
      </c>
      <c r="H31" s="482" t="str">
        <f>INDEX(Matches!$B$4:$J$113,MATCH($F31,Matches!$B$4:$B$113,0),3)</f>
        <v>L2</v>
      </c>
      <c r="I31" s="482" t="str">
        <f>IFERROR(VLOOKUP($F31,Matches!$B$4:$H$113,7,0),"")</f>
        <v>Dallas</v>
      </c>
      <c r="J31" s="713"/>
      <c r="K31" s="714"/>
    </row>
    <row r="32" spans="2:11">
      <c r="B32" s="478">
        <f>INDEX(Matches!$B$4:$J$113,MATCH($F32,Matches!$B$4:$B$113,0),5)</f>
        <v>46191.041666666664</v>
      </c>
      <c r="C32" s="479">
        <f>INDEX(Matches!$B$4:$J$113,MATCH($F32,Matches!$B$4:$B$113,0),5)</f>
        <v>46191.041666666664</v>
      </c>
      <c r="D32" s="480" t="str">
        <f>INDEX(Matches!$B$4:$J$113,MATCH($F32,Matches!$B$4:$B$113,0),8)</f>
        <v>Ghana</v>
      </c>
      <c r="E32" s="480" t="str">
        <f>INDEX(Matches!$B$4:$J$113,MATCH($F32,Matches!$B$4:$B$113,0),9)</f>
        <v>Panama</v>
      </c>
      <c r="F32" s="483">
        <v>21</v>
      </c>
      <c r="G32" s="482" t="str">
        <f>INDEX(Matches!$B$4:$J$113,MATCH($F32,Matches!$B$4:$B$113,0),2)</f>
        <v>L3</v>
      </c>
      <c r="H32" s="482" t="str">
        <f>INDEX(Matches!$B$4:$J$113,MATCH($F32,Matches!$B$4:$B$113,0),3)</f>
        <v>L4</v>
      </c>
      <c r="I32" s="482" t="str">
        <f>IFERROR(VLOOKUP($F32,Matches!$B$4:$H$113,7,0),"")</f>
        <v>Toronto</v>
      </c>
      <c r="J32" s="713"/>
      <c r="K32" s="714"/>
    </row>
    <row r="33" spans="2:11">
      <c r="B33" s="478">
        <f>INDEX(Matches!$B$4:$J$113,MATCH($F33,Matches!$B$4:$B$113,0),5)</f>
        <v>46191.166666666664</v>
      </c>
      <c r="C33" s="479">
        <f>INDEX(Matches!$B$4:$J$113,MATCH($F33,Matches!$B$4:$B$113,0),5)</f>
        <v>46191.166666666664</v>
      </c>
      <c r="D33" s="480" t="str">
        <f>INDEX(Matches!$B$4:$J$113,MATCH($F33,Matches!$B$4:$B$113,0),8)</f>
        <v>Oezbekistan</v>
      </c>
      <c r="E33" s="480" t="str">
        <f>INDEX(Matches!$B$4:$J$113,MATCH($F33,Matches!$B$4:$B$113,0),9)</f>
        <v>Colombia</v>
      </c>
      <c r="F33" s="483">
        <v>24</v>
      </c>
      <c r="G33" s="482" t="str">
        <f>INDEX(Matches!$B$4:$J$113,MATCH($F33,Matches!$B$4:$B$113,0),2)</f>
        <v>K3</v>
      </c>
      <c r="H33" s="482" t="str">
        <f>INDEX(Matches!$B$4:$J$113,MATCH($F33,Matches!$B$4:$B$113,0),3)</f>
        <v>K4</v>
      </c>
      <c r="I33" s="482" t="str">
        <f>IFERROR(VLOOKUP($F33,Matches!$B$4:$H$113,7,0),"")</f>
        <v>Mexico City</v>
      </c>
      <c r="J33" s="713"/>
      <c r="K33" s="714"/>
    </row>
    <row r="34" spans="2:11">
      <c r="B34" s="484"/>
      <c r="C34" s="485"/>
      <c r="D34" s="486"/>
      <c r="E34" s="486"/>
      <c r="F34" s="487"/>
      <c r="G34" s="488"/>
      <c r="H34" s="488"/>
      <c r="I34" s="488"/>
      <c r="J34" s="488"/>
      <c r="K34" s="489"/>
    </row>
    <row r="35" spans="2:11">
      <c r="B35" s="478">
        <f>INDEX(Matches!$B$4:$J$113,MATCH($F35,Matches!$B$4:$B$113,0),5)</f>
        <v>46191.75</v>
      </c>
      <c r="C35" s="479">
        <f>INDEX(Matches!$B$4:$J$113,MATCH($F35,Matches!$B$4:$B$113,0),5)</f>
        <v>46191.75</v>
      </c>
      <c r="D35" s="480" t="str">
        <f>INDEX(Matches!$B$4:$J$113,MATCH($F35,Matches!$B$4:$B$113,0),8)</f>
        <v>Tsjechië</v>
      </c>
      <c r="E35" s="480" t="str">
        <f>INDEX(Matches!$B$4:$J$113,MATCH($F35,Matches!$B$4:$B$113,0),9)</f>
        <v>Zuid-Afrika</v>
      </c>
      <c r="F35" s="483">
        <v>25</v>
      </c>
      <c r="G35" s="482" t="str">
        <f>INDEX(Matches!$B$4:$J$113,MATCH($F35,Matches!$B$4:$B$113,0),2)</f>
        <v>A4</v>
      </c>
      <c r="H35" s="482" t="str">
        <f>INDEX(Matches!$B$4:$J$113,MATCH($F35,Matches!$B$4:$B$113,0),3)</f>
        <v>A2</v>
      </c>
      <c r="I35" s="482" t="str">
        <f>IFERROR(VLOOKUP($F35,Matches!$B$4:$H$113,7,0),"")</f>
        <v>Atlanta</v>
      </c>
      <c r="J35" s="713"/>
      <c r="K35" s="714"/>
    </row>
    <row r="36" spans="2:11">
      <c r="B36" s="478">
        <f>INDEX(Matches!$B$4:$J$113,MATCH($F36,Matches!$B$4:$B$113,0),5)</f>
        <v>46191.875</v>
      </c>
      <c r="C36" s="479">
        <f>INDEX(Matches!$B$4:$J$113,MATCH($F36,Matches!$B$4:$B$113,0),5)</f>
        <v>46191.875</v>
      </c>
      <c r="D36" s="480" t="str">
        <f>INDEX(Matches!$B$4:$J$113,MATCH($F36,Matches!$B$4:$B$113,0),8)</f>
        <v>Zwitserland</v>
      </c>
      <c r="E36" s="480" t="str">
        <f>INDEX(Matches!$B$4:$J$113,MATCH($F36,Matches!$B$4:$B$113,0),9)</f>
        <v>Bosnië/Herzeg.</v>
      </c>
      <c r="F36" s="483">
        <v>26</v>
      </c>
      <c r="G36" s="482" t="str">
        <f>INDEX(Matches!$B$4:$J$113,MATCH($F36,Matches!$B$4:$B$113,0),2)</f>
        <v>B4</v>
      </c>
      <c r="H36" s="482" t="str">
        <f>INDEX(Matches!$B$4:$J$113,MATCH($F36,Matches!$B$4:$B$113,0),3)</f>
        <v>B2</v>
      </c>
      <c r="I36" s="482" t="str">
        <f>IFERROR(VLOOKUP($F36,Matches!$B$4:$H$113,7,0),"")</f>
        <v>Los Angeles</v>
      </c>
      <c r="J36" s="713"/>
      <c r="K36" s="714"/>
    </row>
    <row r="37" spans="2:11">
      <c r="B37" s="478">
        <f>INDEX(Matches!$B$4:$J$113,MATCH($F37,Matches!$B$4:$B$113,0),5)</f>
        <v>46192</v>
      </c>
      <c r="C37" s="479">
        <f>INDEX(Matches!$B$4:$J$113,MATCH($F37,Matches!$B$4:$B$113,0),5)</f>
        <v>46192</v>
      </c>
      <c r="D37" s="480" t="str">
        <f>INDEX(Matches!$B$4:$J$113,MATCH($F37,Matches!$B$4:$B$113,0),8)</f>
        <v>Canada</v>
      </c>
      <c r="E37" s="480" t="str">
        <f>INDEX(Matches!$B$4:$J$113,MATCH($F37,Matches!$B$4:$B$113,0),9)</f>
        <v>Qatar</v>
      </c>
      <c r="F37" s="483">
        <v>27</v>
      </c>
      <c r="G37" s="482" t="str">
        <f>INDEX(Matches!$B$4:$J$113,MATCH($F37,Matches!$B$4:$B$113,0),2)</f>
        <v>B1</v>
      </c>
      <c r="H37" s="482" t="str">
        <f>INDEX(Matches!$B$4:$J$113,MATCH($F37,Matches!$B$4:$B$113,0),3)</f>
        <v>B3</v>
      </c>
      <c r="I37" s="482" t="str">
        <f>IFERROR(VLOOKUP($F37,Matches!$B$4:$H$113,7,0),"")</f>
        <v>Vancouver</v>
      </c>
      <c r="J37" s="713"/>
      <c r="K37" s="714"/>
    </row>
    <row r="38" spans="2:11">
      <c r="B38" s="478">
        <f>INDEX(Matches!$B$4:$J$113,MATCH($F38,Matches!$B$4:$B$113,0),5)</f>
        <v>46192.125</v>
      </c>
      <c r="C38" s="479">
        <f>INDEX(Matches!$B$4:$J$113,MATCH($F38,Matches!$B$4:$B$113,0),5)</f>
        <v>46192.125</v>
      </c>
      <c r="D38" s="480" t="str">
        <f>INDEX(Matches!$B$4:$J$113,MATCH($F38,Matches!$B$4:$B$113,0),8)</f>
        <v>Mexico</v>
      </c>
      <c r="E38" s="480" t="str">
        <f>INDEX(Matches!$B$4:$J$113,MATCH($F38,Matches!$B$4:$B$113,0),9)</f>
        <v>Rep. Korea</v>
      </c>
      <c r="F38" s="483">
        <v>28</v>
      </c>
      <c r="G38" s="482" t="str">
        <f>INDEX(Matches!$B$4:$J$113,MATCH($F38,Matches!$B$4:$B$113,0),2)</f>
        <v>A1</v>
      </c>
      <c r="H38" s="482" t="str">
        <f>INDEX(Matches!$B$4:$J$113,MATCH($F38,Matches!$B$4:$B$113,0),3)</f>
        <v>A3</v>
      </c>
      <c r="I38" s="482" t="str">
        <f>IFERROR(VLOOKUP($F38,Matches!$B$4:$H$113,7,0),"")</f>
        <v>Guadalajara</v>
      </c>
      <c r="J38" s="713"/>
      <c r="K38" s="714"/>
    </row>
    <row r="39" spans="2:11">
      <c r="B39" s="484"/>
      <c r="C39" s="485"/>
      <c r="D39" s="486"/>
      <c r="E39" s="486"/>
      <c r="F39" s="487"/>
      <c r="G39" s="488"/>
      <c r="H39" s="488"/>
      <c r="I39" s="488"/>
      <c r="J39" s="488"/>
      <c r="K39" s="489"/>
    </row>
    <row r="40" spans="2:11">
      <c r="B40" s="478">
        <f>INDEX(Matches!$B$4:$J$113,MATCH($F40,Matches!$B$4:$B$113,0),5)</f>
        <v>46192.875</v>
      </c>
      <c r="C40" s="479">
        <f>INDEX(Matches!$B$4:$J$113,MATCH($F40,Matches!$B$4:$B$113,0),5)</f>
        <v>46192.875</v>
      </c>
      <c r="D40" s="480" t="str">
        <f>INDEX(Matches!$B$4:$J$113,MATCH($F40,Matches!$B$4:$B$113,0),8)</f>
        <v>USA</v>
      </c>
      <c r="E40" s="480" t="str">
        <f>INDEX(Matches!$B$4:$J$113,MATCH($F40,Matches!$B$4:$B$113,0),9)</f>
        <v>Australië</v>
      </c>
      <c r="F40" s="483">
        <v>32</v>
      </c>
      <c r="G40" s="482" t="str">
        <f>INDEX(Matches!$B$4:$J$113,MATCH($F40,Matches!$B$4:$B$113,0),2)</f>
        <v>D1</v>
      </c>
      <c r="H40" s="482" t="str">
        <f>INDEX(Matches!$B$4:$J$113,MATCH($F40,Matches!$B$4:$B$113,0),3)</f>
        <v>D3</v>
      </c>
      <c r="I40" s="482" t="str">
        <f>IFERROR(VLOOKUP($F40,Matches!$B$4:$H$113,7,0),"")</f>
        <v>Seattle</v>
      </c>
      <c r="J40" s="713"/>
      <c r="K40" s="714"/>
    </row>
    <row r="41" spans="2:11">
      <c r="B41" s="478">
        <f>INDEX(Matches!$B$4:$J$113,MATCH($F41,Matches!$B$4:$B$113,0),5)</f>
        <v>46193</v>
      </c>
      <c r="C41" s="479">
        <f>INDEX(Matches!$B$4:$J$113,MATCH($F41,Matches!$B$4:$B$113,0),5)</f>
        <v>46193</v>
      </c>
      <c r="D41" s="480" t="str">
        <f>INDEX(Matches!$B$4:$J$113,MATCH($F41,Matches!$B$4:$B$113,0),8)</f>
        <v>Schotland</v>
      </c>
      <c r="E41" s="480" t="str">
        <f>INDEX(Matches!$B$4:$J$113,MATCH($F41,Matches!$B$4:$B$113,0),9)</f>
        <v>Marokko</v>
      </c>
      <c r="F41" s="483">
        <v>30</v>
      </c>
      <c r="G41" s="482" t="str">
        <f>INDEX(Matches!$B$4:$J$113,MATCH($F41,Matches!$B$4:$B$113,0),2)</f>
        <v>C4</v>
      </c>
      <c r="H41" s="482" t="str">
        <f>INDEX(Matches!$B$4:$J$113,MATCH($F41,Matches!$B$4:$B$113,0),3)</f>
        <v>C2</v>
      </c>
      <c r="I41" s="482" t="str">
        <f>IFERROR(VLOOKUP($F41,Matches!$B$4:$H$113,7,0),"")</f>
        <v>Boston</v>
      </c>
      <c r="J41" s="713"/>
      <c r="K41" s="714"/>
    </row>
    <row r="42" spans="2:11">
      <c r="B42" s="478">
        <f>INDEX(Matches!$B$4:$J$113,MATCH($F42,Matches!$B$4:$B$113,0),5)</f>
        <v>46193.104166666664</v>
      </c>
      <c r="C42" s="479">
        <f>INDEX(Matches!$B$4:$J$113,MATCH($F42,Matches!$B$4:$B$113,0),5)</f>
        <v>46193.104166666664</v>
      </c>
      <c r="D42" s="480" t="str">
        <f>INDEX(Matches!$B$4:$J$113,MATCH($F42,Matches!$B$4:$B$113,0),8)</f>
        <v>Brazilië</v>
      </c>
      <c r="E42" s="480" t="str">
        <f>INDEX(Matches!$B$4:$J$113,MATCH($F42,Matches!$B$4:$B$113,0),9)</f>
        <v>Haïti</v>
      </c>
      <c r="F42" s="483">
        <v>29</v>
      </c>
      <c r="G42" s="482" t="str">
        <f>INDEX(Matches!$B$4:$J$113,MATCH($F42,Matches!$B$4:$B$113,0),2)</f>
        <v>C1</v>
      </c>
      <c r="H42" s="482" t="str">
        <f>INDEX(Matches!$B$4:$J$113,MATCH($F42,Matches!$B$4:$B$113,0),3)</f>
        <v>C3</v>
      </c>
      <c r="I42" s="482" t="str">
        <f>IFERROR(VLOOKUP($F42,Matches!$B$4:$H$113,7,0),"")</f>
        <v>Philadelphia</v>
      </c>
      <c r="J42" s="713"/>
      <c r="K42" s="714"/>
    </row>
    <row r="43" spans="2:11">
      <c r="B43" s="478">
        <f>INDEX(Matches!$B$4:$J$113,MATCH($F43,Matches!$B$4:$B$113,0),5)</f>
        <v>46193.208333333336</v>
      </c>
      <c r="C43" s="479">
        <f>INDEX(Matches!$B$4:$J$113,MATCH($F43,Matches!$B$4:$B$113,0),5)</f>
        <v>46193.208333333336</v>
      </c>
      <c r="D43" s="480" t="str">
        <f>INDEX(Matches!$B$4:$J$113,MATCH($F43,Matches!$B$4:$B$113,0),8)</f>
        <v>Turkije</v>
      </c>
      <c r="E43" s="480" t="str">
        <f>INDEX(Matches!$B$4:$J$113,MATCH($F43,Matches!$B$4:$B$113,0),9)</f>
        <v>Paraguay</v>
      </c>
      <c r="F43" s="483">
        <v>31</v>
      </c>
      <c r="G43" s="482" t="str">
        <f>INDEX(Matches!$B$4:$J$113,MATCH($F43,Matches!$B$4:$B$113,0),2)</f>
        <v>D4</v>
      </c>
      <c r="H43" s="482" t="str">
        <f>INDEX(Matches!$B$4:$J$113,MATCH($F43,Matches!$B$4:$B$113,0),3)</f>
        <v>D2</v>
      </c>
      <c r="I43" s="482" t="str">
        <f>IFERROR(VLOOKUP($F43,Matches!$B$4:$H$113,7,0),"")</f>
        <v>San Francisco Bay Area</v>
      </c>
      <c r="J43" s="713"/>
      <c r="K43" s="714"/>
    </row>
    <row r="44" spans="2:11">
      <c r="B44" s="484"/>
      <c r="C44" s="485"/>
      <c r="D44" s="486"/>
      <c r="E44" s="486"/>
      <c r="F44" s="487"/>
      <c r="G44" s="488"/>
      <c r="H44" s="488"/>
      <c r="I44" s="488"/>
      <c r="J44" s="488"/>
      <c r="K44" s="489"/>
    </row>
    <row r="45" spans="2:11">
      <c r="B45" s="478">
        <f>INDEX(Matches!$B$4:$J$113,MATCH($F45,Matches!$B$4:$B$113,0),5)</f>
        <v>46193.791666666664</v>
      </c>
      <c r="C45" s="479">
        <f>INDEX(Matches!$B$4:$J$113,MATCH($F45,Matches!$B$4:$B$113,0),5)</f>
        <v>46193.791666666664</v>
      </c>
      <c r="D45" s="480" t="str">
        <f>INDEX(Matches!$B$4:$J$113,MATCH($F45,Matches!$B$4:$B$113,0),8)</f>
        <v>Nederland</v>
      </c>
      <c r="E45" s="480" t="str">
        <f>INDEX(Matches!$B$4:$J$113,MATCH($F45,Matches!$B$4:$B$113,0),9)</f>
        <v>Zweden</v>
      </c>
      <c r="F45" s="483">
        <v>35</v>
      </c>
      <c r="G45" s="482" t="str">
        <f>INDEX(Matches!$B$4:$J$113,MATCH($F45,Matches!$B$4:$B$113,0),2)</f>
        <v>F1</v>
      </c>
      <c r="H45" s="482" t="str">
        <f>INDEX(Matches!$B$4:$J$113,MATCH($F45,Matches!$B$4:$B$113,0),3)</f>
        <v>F3</v>
      </c>
      <c r="I45" s="482" t="str">
        <f>IFERROR(VLOOKUP($F45,Matches!$B$4:$H$113,7,0),"")</f>
        <v>Houston</v>
      </c>
      <c r="J45" s="713"/>
      <c r="K45" s="714"/>
    </row>
    <row r="46" spans="2:11">
      <c r="B46" s="478">
        <f>INDEX(Matches!$B$4:$J$113,MATCH($F46,Matches!$B$4:$B$113,0),5)</f>
        <v>46193.916666666664</v>
      </c>
      <c r="C46" s="479">
        <f>INDEX(Matches!$B$4:$J$113,MATCH($F46,Matches!$B$4:$B$113,0),5)</f>
        <v>46193.916666666664</v>
      </c>
      <c r="D46" s="480" t="str">
        <f>INDEX(Matches!$B$4:$J$113,MATCH($F46,Matches!$B$4:$B$113,0),8)</f>
        <v>Duitsland</v>
      </c>
      <c r="E46" s="480" t="str">
        <f>INDEX(Matches!$B$4:$J$113,MATCH($F46,Matches!$B$4:$B$113,0),9)</f>
        <v>Ivoorkust</v>
      </c>
      <c r="F46" s="483">
        <v>33</v>
      </c>
      <c r="G46" s="482" t="str">
        <f>INDEX(Matches!$B$4:$J$113,MATCH($F46,Matches!$B$4:$B$113,0),2)</f>
        <v>E1</v>
      </c>
      <c r="H46" s="482" t="str">
        <f>INDEX(Matches!$B$4:$J$113,MATCH($F46,Matches!$B$4:$B$113,0),3)</f>
        <v>E3</v>
      </c>
      <c r="I46" s="482" t="str">
        <f>IFERROR(VLOOKUP($F46,Matches!$B$4:$H$113,7,0),"")</f>
        <v>Toronto</v>
      </c>
      <c r="J46" s="713"/>
      <c r="K46" s="714"/>
    </row>
    <row r="47" spans="2:11">
      <c r="B47" s="478">
        <f>INDEX(Matches!$B$4:$J$113,MATCH($F47,Matches!$B$4:$B$113,0),5)</f>
        <v>46194.083333333336</v>
      </c>
      <c r="C47" s="479">
        <f>INDEX(Matches!$B$4:$J$113,MATCH($F47,Matches!$B$4:$B$113,0),5)</f>
        <v>46194.083333333336</v>
      </c>
      <c r="D47" s="480" t="str">
        <f>INDEX(Matches!$B$4:$J$113,MATCH($F47,Matches!$B$4:$B$113,0),8)</f>
        <v>Ecuador</v>
      </c>
      <c r="E47" s="480" t="str">
        <f>INDEX(Matches!$B$4:$J$113,MATCH($F47,Matches!$B$4:$B$113,0),9)</f>
        <v>Curacao</v>
      </c>
      <c r="F47" s="483">
        <v>34</v>
      </c>
      <c r="G47" s="482" t="str">
        <f>INDEX(Matches!$B$4:$J$113,MATCH($F47,Matches!$B$4:$B$113,0),2)</f>
        <v>E4</v>
      </c>
      <c r="H47" s="482" t="str">
        <f>INDEX(Matches!$B$4:$J$113,MATCH($F47,Matches!$B$4:$B$113,0),3)</f>
        <v>E2</v>
      </c>
      <c r="I47" s="482" t="str">
        <f>IFERROR(VLOOKUP($F47,Matches!$B$4:$H$113,7,0),"")</f>
        <v>Kansas City</v>
      </c>
      <c r="J47" s="713"/>
      <c r="K47" s="714"/>
    </row>
    <row r="48" spans="2:11">
      <c r="B48" s="478">
        <f>INDEX(Matches!$B$4:$J$113,MATCH($F48,Matches!$B$4:$B$113,0),5)</f>
        <v>46194.25</v>
      </c>
      <c r="C48" s="479">
        <f>INDEX(Matches!$B$4:$J$113,MATCH($F48,Matches!$B$4:$B$113,0),5)</f>
        <v>46194.25</v>
      </c>
      <c r="D48" s="480" t="str">
        <f>INDEX(Matches!$B$4:$J$113,MATCH($F48,Matches!$B$4:$B$113,0),8)</f>
        <v>Tunesië</v>
      </c>
      <c r="E48" s="480" t="str">
        <f>INDEX(Matches!$B$4:$J$113,MATCH($F48,Matches!$B$4:$B$113,0),9)</f>
        <v>Japan</v>
      </c>
      <c r="F48" s="483">
        <v>36</v>
      </c>
      <c r="G48" s="482" t="str">
        <f>INDEX(Matches!$B$4:$J$113,MATCH($F48,Matches!$B$4:$B$113,0),2)</f>
        <v>F4</v>
      </c>
      <c r="H48" s="482" t="str">
        <f>INDEX(Matches!$B$4:$J$113,MATCH($F48,Matches!$B$4:$B$113,0),3)</f>
        <v>F2</v>
      </c>
      <c r="I48" s="482" t="str">
        <f>IFERROR(VLOOKUP($F48,Matches!$B$4:$H$113,7,0),"")</f>
        <v>Monterrey</v>
      </c>
      <c r="J48" s="713"/>
      <c r="K48" s="714"/>
    </row>
    <row r="49" spans="2:11">
      <c r="B49" s="484"/>
      <c r="C49" s="485"/>
      <c r="D49" s="486"/>
      <c r="E49" s="486"/>
      <c r="F49" s="487"/>
      <c r="G49" s="488"/>
      <c r="H49" s="488"/>
      <c r="I49" s="488"/>
      <c r="J49" s="488"/>
      <c r="K49" s="489"/>
    </row>
    <row r="50" spans="2:11">
      <c r="B50" s="478">
        <f>INDEX(Matches!$B$4:$J$113,MATCH($F50,Matches!$B$4:$B$113,0),5)</f>
        <v>46194.75</v>
      </c>
      <c r="C50" s="479">
        <f>INDEX(Matches!$B$4:$J$113,MATCH($F50,Matches!$B$4:$B$113,0),5)</f>
        <v>46194.75</v>
      </c>
      <c r="D50" s="480" t="str">
        <f>INDEX(Matches!$B$4:$J$113,MATCH($F50,Matches!$B$4:$B$113,0),8)</f>
        <v>Spanje</v>
      </c>
      <c r="E50" s="480" t="str">
        <f>INDEX(Matches!$B$4:$J$113,MATCH($F50,Matches!$B$4:$B$113,0),9)</f>
        <v>Saoedi-Arabië</v>
      </c>
      <c r="F50" s="483">
        <v>38</v>
      </c>
      <c r="G50" s="482" t="str">
        <f>INDEX(Matches!$B$4:$J$113,MATCH($F50,Matches!$B$4:$B$113,0),2)</f>
        <v>H1</v>
      </c>
      <c r="H50" s="482" t="str">
        <f>INDEX(Matches!$B$4:$J$113,MATCH($F50,Matches!$B$4:$B$113,0),3)</f>
        <v>H3</v>
      </c>
      <c r="I50" s="482" t="str">
        <f>IFERROR(VLOOKUP($F50,Matches!$B$4:$H$113,7,0),"")</f>
        <v>Atlanta</v>
      </c>
      <c r="J50" s="713"/>
      <c r="K50" s="714"/>
    </row>
    <row r="51" spans="2:11">
      <c r="B51" s="478">
        <f>INDEX(Matches!$B$4:$J$113,MATCH($F51,Matches!$B$4:$B$113,0),5)</f>
        <v>46194.875</v>
      </c>
      <c r="C51" s="479">
        <f>INDEX(Matches!$B$4:$J$113,MATCH($F51,Matches!$B$4:$B$113,0),5)</f>
        <v>46194.875</v>
      </c>
      <c r="D51" s="480" t="str">
        <f>INDEX(Matches!$B$4:$J$113,MATCH($F51,Matches!$B$4:$B$113,0),8)</f>
        <v>België</v>
      </c>
      <c r="E51" s="480" t="str">
        <f>INDEX(Matches!$B$4:$J$113,MATCH($F51,Matches!$B$4:$B$113,0),9)</f>
        <v>IR Iran</v>
      </c>
      <c r="F51" s="483">
        <v>39</v>
      </c>
      <c r="G51" s="482" t="str">
        <f>INDEX(Matches!$B$4:$J$113,MATCH($F51,Matches!$B$4:$B$113,0),2)</f>
        <v>G1</v>
      </c>
      <c r="H51" s="482" t="str">
        <f>INDEX(Matches!$B$4:$J$113,MATCH($F51,Matches!$B$4:$B$113,0),3)</f>
        <v>G3</v>
      </c>
      <c r="I51" s="482" t="str">
        <f>IFERROR(VLOOKUP($F51,Matches!$B$4:$H$113,7,0),"")</f>
        <v>Los Angeles</v>
      </c>
      <c r="J51" s="713"/>
      <c r="K51" s="714"/>
    </row>
    <row r="52" spans="2:11">
      <c r="B52" s="478">
        <f>INDEX(Matches!$B$4:$J$113,MATCH($F52,Matches!$B$4:$B$113,0),5)</f>
        <v>46195</v>
      </c>
      <c r="C52" s="479">
        <f>INDEX(Matches!$B$4:$J$113,MATCH($F52,Matches!$B$4:$B$113,0),5)</f>
        <v>46195</v>
      </c>
      <c r="D52" s="480" t="str">
        <f>INDEX(Matches!$B$4:$J$113,MATCH($F52,Matches!$B$4:$B$113,0),8)</f>
        <v>Uruguay</v>
      </c>
      <c r="E52" s="480" t="str">
        <f>INDEX(Matches!$B$4:$J$113,MATCH($F52,Matches!$B$4:$B$113,0),9)</f>
        <v>Kaapverdië</v>
      </c>
      <c r="F52" s="483">
        <v>37</v>
      </c>
      <c r="G52" s="482" t="str">
        <f>INDEX(Matches!$B$4:$J$113,MATCH($F52,Matches!$B$4:$B$113,0),2)</f>
        <v>H4</v>
      </c>
      <c r="H52" s="482" t="str">
        <f>INDEX(Matches!$B$4:$J$113,MATCH($F52,Matches!$B$4:$B$113,0),3)</f>
        <v>H2</v>
      </c>
      <c r="I52" s="482" t="str">
        <f>IFERROR(VLOOKUP($F52,Matches!$B$4:$H$113,7,0),"")</f>
        <v>Miami</v>
      </c>
      <c r="J52" s="713"/>
      <c r="K52" s="714"/>
    </row>
    <row r="53" spans="2:11">
      <c r="B53" s="478">
        <f>INDEX(Matches!$B$4:$J$113,MATCH($F53,Matches!$B$4:$B$113,0),5)</f>
        <v>46195.125</v>
      </c>
      <c r="C53" s="479">
        <f>INDEX(Matches!$B$4:$J$113,MATCH($F53,Matches!$B$4:$B$113,0),5)</f>
        <v>46195.125</v>
      </c>
      <c r="D53" s="480" t="str">
        <f>INDEX(Matches!$B$4:$J$113,MATCH($F53,Matches!$B$4:$B$113,0),8)</f>
        <v>Nieuw-Zeeland</v>
      </c>
      <c r="E53" s="480" t="str">
        <f>INDEX(Matches!$B$4:$J$113,MATCH($F53,Matches!$B$4:$B$113,0),9)</f>
        <v>Egypte</v>
      </c>
      <c r="F53" s="483">
        <v>40</v>
      </c>
      <c r="G53" s="482" t="str">
        <f>INDEX(Matches!$B$4:$J$113,MATCH($F53,Matches!$B$4:$B$113,0),2)</f>
        <v>G4</v>
      </c>
      <c r="H53" s="482" t="str">
        <f>INDEX(Matches!$B$4:$J$113,MATCH($F53,Matches!$B$4:$B$113,0),3)</f>
        <v>G2</v>
      </c>
      <c r="I53" s="482" t="str">
        <f>IFERROR(VLOOKUP($F53,Matches!$B$4:$H$113,7,0),"")</f>
        <v>Vancouver</v>
      </c>
      <c r="J53" s="713"/>
      <c r="K53" s="714"/>
    </row>
    <row r="54" spans="2:11">
      <c r="B54" s="484"/>
      <c r="C54" s="485"/>
      <c r="D54" s="486"/>
      <c r="E54" s="486"/>
      <c r="F54" s="487"/>
      <c r="G54" s="488"/>
      <c r="H54" s="488"/>
      <c r="I54" s="488"/>
      <c r="J54" s="488"/>
      <c r="K54" s="489"/>
    </row>
    <row r="55" spans="2:11">
      <c r="B55" s="478">
        <f>INDEX(Matches!$B$4:$J$113,MATCH($F55,Matches!$B$4:$B$113,0),5)</f>
        <v>46195.791666666664</v>
      </c>
      <c r="C55" s="479">
        <f>INDEX(Matches!$B$4:$J$113,MATCH($F55,Matches!$B$4:$B$113,0),5)</f>
        <v>46195.791666666664</v>
      </c>
      <c r="D55" s="480" t="str">
        <f>INDEX(Matches!$B$4:$J$113,MATCH($F55,Matches!$B$4:$B$113,0),8)</f>
        <v>Argentinië</v>
      </c>
      <c r="E55" s="480" t="str">
        <f>INDEX(Matches!$B$4:$J$113,MATCH($F55,Matches!$B$4:$B$113,0),9)</f>
        <v>Oostenrijk</v>
      </c>
      <c r="F55" s="483">
        <v>43</v>
      </c>
      <c r="G55" s="482" t="str">
        <f>INDEX(Matches!$B$4:$J$113,MATCH($F55,Matches!$B$4:$B$113,0),2)</f>
        <v>J1</v>
      </c>
      <c r="H55" s="482" t="str">
        <f>INDEX(Matches!$B$4:$J$113,MATCH($F55,Matches!$B$4:$B$113,0),3)</f>
        <v>J3</v>
      </c>
      <c r="I55" s="482" t="str">
        <f>IFERROR(VLOOKUP($F55,Matches!$B$4:$H$113,7,0),"")</f>
        <v>Dallas</v>
      </c>
      <c r="J55" s="713"/>
      <c r="K55" s="714"/>
    </row>
    <row r="56" spans="2:11">
      <c r="B56" s="478">
        <f>INDEX(Matches!$B$4:$J$113,MATCH($F56,Matches!$B$4:$B$113,0),5)</f>
        <v>46195.958333333336</v>
      </c>
      <c r="C56" s="479">
        <f>INDEX(Matches!$B$4:$J$113,MATCH($F56,Matches!$B$4:$B$113,0),5)</f>
        <v>46195.958333333336</v>
      </c>
      <c r="D56" s="480" t="str">
        <f>INDEX(Matches!$B$4:$J$113,MATCH($F56,Matches!$B$4:$B$113,0),8)</f>
        <v>Frankrijk</v>
      </c>
      <c r="E56" s="480" t="str">
        <f>INDEX(Matches!$B$4:$J$113,MATCH($F56,Matches!$B$4:$B$113,0),9)</f>
        <v>Irak</v>
      </c>
      <c r="F56" s="483">
        <v>42</v>
      </c>
      <c r="G56" s="482" t="str">
        <f>INDEX(Matches!$B$4:$J$113,MATCH($F56,Matches!$B$4:$B$113,0),2)</f>
        <v>I1</v>
      </c>
      <c r="H56" s="482" t="str">
        <f>INDEX(Matches!$B$4:$J$113,MATCH($F56,Matches!$B$4:$B$113,0),3)</f>
        <v>I3</v>
      </c>
      <c r="I56" s="482" t="str">
        <f>IFERROR(VLOOKUP($F56,Matches!$B$4:$H$113,7,0),"")</f>
        <v>Philadelphia</v>
      </c>
      <c r="J56" s="713"/>
      <c r="K56" s="714"/>
    </row>
    <row r="57" spans="2:11">
      <c r="B57" s="478">
        <f>INDEX(Matches!$B$4:$J$113,MATCH($F57,Matches!$B$4:$B$113,0),5)</f>
        <v>46196.083333333336</v>
      </c>
      <c r="C57" s="479">
        <f>INDEX(Matches!$B$4:$J$113,MATCH($F57,Matches!$B$4:$B$113,0),5)</f>
        <v>46196.083333333336</v>
      </c>
      <c r="D57" s="480" t="str">
        <f>INDEX(Matches!$B$4:$J$113,MATCH($F57,Matches!$B$4:$B$113,0),8)</f>
        <v>Noorwegen</v>
      </c>
      <c r="E57" s="480" t="str">
        <f>INDEX(Matches!$B$4:$J$113,MATCH($F57,Matches!$B$4:$B$113,0),9)</f>
        <v>Senegal</v>
      </c>
      <c r="F57" s="483">
        <v>41</v>
      </c>
      <c r="G57" s="482" t="str">
        <f>INDEX(Matches!$B$4:$J$113,MATCH($F57,Matches!$B$4:$B$113,0),2)</f>
        <v>I4</v>
      </c>
      <c r="H57" s="482" t="str">
        <f>INDEX(Matches!$B$4:$J$113,MATCH($F57,Matches!$B$4:$B$113,0),3)</f>
        <v>I2</v>
      </c>
      <c r="I57" s="482" t="str">
        <f>IFERROR(VLOOKUP($F57,Matches!$B$4:$H$113,7,0),"")</f>
        <v>New York/New Jersey</v>
      </c>
      <c r="J57" s="713"/>
      <c r="K57" s="714"/>
    </row>
    <row r="58" spans="2:11">
      <c r="B58" s="478">
        <f>INDEX(Matches!$B$4:$J$113,MATCH($F58,Matches!$B$4:$B$113,0),5)</f>
        <v>46196.208333333336</v>
      </c>
      <c r="C58" s="479">
        <f>INDEX(Matches!$B$4:$J$113,MATCH($F58,Matches!$B$4:$B$113,0),5)</f>
        <v>46196.208333333336</v>
      </c>
      <c r="D58" s="480" t="str">
        <f>INDEX(Matches!$B$4:$J$113,MATCH($F58,Matches!$B$4:$B$113,0),8)</f>
        <v>Jordanië</v>
      </c>
      <c r="E58" s="480" t="str">
        <f>INDEX(Matches!$B$4:$J$113,MATCH($F58,Matches!$B$4:$B$113,0),9)</f>
        <v>Algerije</v>
      </c>
      <c r="F58" s="483">
        <v>44</v>
      </c>
      <c r="G58" s="482" t="str">
        <f>INDEX(Matches!$B$4:$J$113,MATCH($F58,Matches!$B$4:$B$113,0),2)</f>
        <v>J4</v>
      </c>
      <c r="H58" s="482" t="str">
        <f>INDEX(Matches!$B$4:$J$113,MATCH($F58,Matches!$B$4:$B$113,0),3)</f>
        <v>J2</v>
      </c>
      <c r="I58" s="482" t="str">
        <f>IFERROR(VLOOKUP($F58,Matches!$B$4:$H$113,7,0),"")</f>
        <v>San Francisco Bay Area</v>
      </c>
      <c r="J58" s="713"/>
      <c r="K58" s="714"/>
    </row>
    <row r="59" spans="2:11">
      <c r="B59" s="484"/>
      <c r="C59" s="485"/>
      <c r="D59" s="486"/>
      <c r="E59" s="486"/>
      <c r="F59" s="487"/>
      <c r="G59" s="488"/>
      <c r="H59" s="488"/>
      <c r="I59" s="488"/>
      <c r="J59" s="488"/>
      <c r="K59" s="489"/>
    </row>
    <row r="60" spans="2:11">
      <c r="B60" s="478">
        <f>INDEX(Matches!$B$4:$J$113,MATCH($F60,Matches!$B$4:$B$113,0),5)</f>
        <v>46196.791666666664</v>
      </c>
      <c r="C60" s="479">
        <f>INDEX(Matches!$B$4:$J$113,MATCH($F60,Matches!$B$4:$B$113,0),5)</f>
        <v>46196.791666666664</v>
      </c>
      <c r="D60" s="480" t="str">
        <f>INDEX(Matches!$B$4:$J$113,MATCH($F60,Matches!$B$4:$B$113,0),8)</f>
        <v>Portugal</v>
      </c>
      <c r="E60" s="480" t="str">
        <f>INDEX(Matches!$B$4:$J$113,MATCH($F60,Matches!$B$4:$B$113,0),9)</f>
        <v>Oezbekistan</v>
      </c>
      <c r="F60" s="483">
        <v>47</v>
      </c>
      <c r="G60" s="482" t="str">
        <f>INDEX(Matches!$B$4:$J$113,MATCH($F60,Matches!$B$4:$B$113,0),2)</f>
        <v>K1</v>
      </c>
      <c r="H60" s="482" t="str">
        <f>INDEX(Matches!$B$4:$J$113,MATCH($F60,Matches!$B$4:$B$113,0),3)</f>
        <v>K3</v>
      </c>
      <c r="I60" s="482" t="str">
        <f>IFERROR(VLOOKUP($F60,Matches!$B$4:$H$113,7,0),"")</f>
        <v>Houston</v>
      </c>
      <c r="J60" s="713"/>
      <c r="K60" s="714"/>
    </row>
    <row r="61" spans="2:11">
      <c r="B61" s="478">
        <f>INDEX(Matches!$B$4:$J$113,MATCH($F61,Matches!$B$4:$B$113,0),5)</f>
        <v>46196.916666666664</v>
      </c>
      <c r="C61" s="479">
        <f>INDEX(Matches!$B$4:$J$113,MATCH($F61,Matches!$B$4:$B$113,0),5)</f>
        <v>46196.916666666664</v>
      </c>
      <c r="D61" s="480" t="str">
        <f>INDEX(Matches!$B$4:$J$113,MATCH($F61,Matches!$B$4:$B$113,0),8)</f>
        <v>Engeland</v>
      </c>
      <c r="E61" s="480" t="str">
        <f>INDEX(Matches!$B$4:$J$113,MATCH($F61,Matches!$B$4:$B$113,0),9)</f>
        <v>Ghana</v>
      </c>
      <c r="F61" s="483">
        <v>45</v>
      </c>
      <c r="G61" s="482" t="str">
        <f>INDEX(Matches!$B$4:$J$113,MATCH($F61,Matches!$B$4:$B$113,0),2)</f>
        <v>L1</v>
      </c>
      <c r="H61" s="482" t="str">
        <f>INDEX(Matches!$B$4:$J$113,MATCH($F61,Matches!$B$4:$B$113,0),3)</f>
        <v>L3</v>
      </c>
      <c r="I61" s="482" t="str">
        <f>IFERROR(VLOOKUP($F61,Matches!$B$4:$H$113,7,0),"")</f>
        <v>Boston</v>
      </c>
      <c r="J61" s="713"/>
      <c r="K61" s="714"/>
    </row>
    <row r="62" spans="2:11">
      <c r="B62" s="478">
        <f>INDEX(Matches!$B$4:$J$113,MATCH($F62,Matches!$B$4:$B$113,0),5)</f>
        <v>46197.041666666664</v>
      </c>
      <c r="C62" s="479">
        <f>INDEX(Matches!$B$4:$J$113,MATCH($F62,Matches!$B$4:$B$113,0),5)</f>
        <v>46197.041666666664</v>
      </c>
      <c r="D62" s="480" t="str">
        <f>INDEX(Matches!$B$4:$J$113,MATCH($F62,Matches!$B$4:$B$113,0),8)</f>
        <v>Panama</v>
      </c>
      <c r="E62" s="480" t="str">
        <f>INDEX(Matches!$B$4:$J$113,MATCH($F62,Matches!$B$4:$B$113,0),9)</f>
        <v>Kroatië</v>
      </c>
      <c r="F62" s="483">
        <v>46</v>
      </c>
      <c r="G62" s="482" t="str">
        <f>INDEX(Matches!$B$4:$J$113,MATCH($F62,Matches!$B$4:$B$113,0),2)</f>
        <v>L4</v>
      </c>
      <c r="H62" s="482" t="str">
        <f>INDEX(Matches!$B$4:$J$113,MATCH($F62,Matches!$B$4:$B$113,0),3)</f>
        <v>L2</v>
      </c>
      <c r="I62" s="482" t="str">
        <f>IFERROR(VLOOKUP($F62,Matches!$B$4:$H$113,7,0),"")</f>
        <v>Toronto</v>
      </c>
      <c r="J62" s="713"/>
      <c r="K62" s="714"/>
    </row>
    <row r="63" spans="2:11">
      <c r="B63" s="478">
        <f>INDEX(Matches!$B$4:$J$113,MATCH($F63,Matches!$B$4:$B$113,0),5)</f>
        <v>46197.166666666664</v>
      </c>
      <c r="C63" s="479">
        <f>INDEX(Matches!$B$4:$J$113,MATCH($F63,Matches!$B$4:$B$113,0),5)</f>
        <v>46197.166666666664</v>
      </c>
      <c r="D63" s="480" t="str">
        <f>INDEX(Matches!$B$4:$J$113,MATCH($F63,Matches!$B$4:$B$113,0),8)</f>
        <v>Colombia</v>
      </c>
      <c r="E63" s="480" t="str">
        <f>INDEX(Matches!$B$4:$J$113,MATCH($F63,Matches!$B$4:$B$113,0),9)</f>
        <v>DR Congo</v>
      </c>
      <c r="F63" s="483">
        <v>48</v>
      </c>
      <c r="G63" s="482" t="str">
        <f>INDEX(Matches!$B$4:$J$113,MATCH($F63,Matches!$B$4:$B$113,0),2)</f>
        <v>K4</v>
      </c>
      <c r="H63" s="482" t="str">
        <f>INDEX(Matches!$B$4:$J$113,MATCH($F63,Matches!$B$4:$B$113,0),3)</f>
        <v>K2</v>
      </c>
      <c r="I63" s="482" t="str">
        <f>IFERROR(VLOOKUP($F63,Matches!$B$4:$H$113,7,0),"")</f>
        <v>Guadalajara</v>
      </c>
      <c r="J63" s="713"/>
      <c r="K63" s="714"/>
    </row>
    <row r="64" spans="2:11">
      <c r="B64" s="484"/>
      <c r="C64" s="485"/>
      <c r="D64" s="486"/>
      <c r="E64" s="486"/>
      <c r="F64" s="487"/>
      <c r="G64" s="488"/>
      <c r="H64" s="488"/>
      <c r="I64" s="488"/>
      <c r="J64" s="488"/>
      <c r="K64" s="489"/>
    </row>
    <row r="65" spans="2:11">
      <c r="B65" s="478">
        <f>INDEX(Matches!$B$4:$J$113,MATCH($F65,Matches!$B$4:$B$113,0),5)</f>
        <v>46197.875</v>
      </c>
      <c r="C65" s="479">
        <f>INDEX(Matches!$B$4:$J$113,MATCH($F65,Matches!$B$4:$B$113,0),5)</f>
        <v>46197.875</v>
      </c>
      <c r="D65" s="480" t="str">
        <f>INDEX(Matches!$B$4:$J$113,MATCH($F65,Matches!$B$4:$B$113,0),8)</f>
        <v>Zwitserland</v>
      </c>
      <c r="E65" s="480" t="str">
        <f>INDEX(Matches!$B$4:$J$113,MATCH($F65,Matches!$B$4:$B$113,0),9)</f>
        <v>Canada</v>
      </c>
      <c r="F65" s="483">
        <v>51</v>
      </c>
      <c r="G65" s="482" t="str">
        <f>INDEX(Matches!$B$4:$J$113,MATCH($F65,Matches!$B$4:$B$113,0),2)</f>
        <v>B4</v>
      </c>
      <c r="H65" s="482" t="str">
        <f>INDEX(Matches!$B$4:$J$113,MATCH($F65,Matches!$B$4:$B$113,0),3)</f>
        <v>B1</v>
      </c>
      <c r="I65" s="482" t="str">
        <f>IFERROR(VLOOKUP($F65,Matches!$B$4:$H$113,7,0),"")</f>
        <v>Vancouver</v>
      </c>
      <c r="J65" s="713"/>
      <c r="K65" s="714"/>
    </row>
    <row r="66" spans="2:11">
      <c r="B66" s="478">
        <f>INDEX(Matches!$B$4:$J$113,MATCH($F66,Matches!$B$4:$B$113,0),5)</f>
        <v>46197.875</v>
      </c>
      <c r="C66" s="479">
        <f>INDEX(Matches!$B$4:$J$113,MATCH($F66,Matches!$B$4:$B$113,0),5)</f>
        <v>46197.875</v>
      </c>
      <c r="D66" s="480" t="str">
        <f>INDEX(Matches!$B$4:$J$113,MATCH($F66,Matches!$B$4:$B$113,0),8)</f>
        <v>Bosnië/Herzeg.</v>
      </c>
      <c r="E66" s="480" t="str">
        <f>INDEX(Matches!$B$4:$J$113,MATCH($F66,Matches!$B$4:$B$113,0),9)</f>
        <v>Qatar</v>
      </c>
      <c r="F66" s="483">
        <v>52</v>
      </c>
      <c r="G66" s="482" t="str">
        <f>INDEX(Matches!$B$4:$J$113,MATCH($F66,Matches!$B$4:$B$113,0),2)</f>
        <v>B2</v>
      </c>
      <c r="H66" s="482" t="str">
        <f>INDEX(Matches!$B$4:$J$113,MATCH($F66,Matches!$B$4:$B$113,0),3)</f>
        <v>B3</v>
      </c>
      <c r="I66" s="482" t="str">
        <f>IFERROR(VLOOKUP($F66,Matches!$B$4:$H$113,7,0),"")</f>
        <v>Seattle</v>
      </c>
      <c r="J66" s="713"/>
      <c r="K66" s="714"/>
    </row>
    <row r="67" spans="2:11">
      <c r="B67" s="478">
        <f>INDEX(Matches!$B$4:$J$113,MATCH($F67,Matches!$B$4:$B$113,0),5)</f>
        <v>46198</v>
      </c>
      <c r="C67" s="479">
        <f>INDEX(Matches!$B$4:$J$113,MATCH($F67,Matches!$B$4:$B$113,0),5)</f>
        <v>46198</v>
      </c>
      <c r="D67" s="480" t="str">
        <f>INDEX(Matches!$B$4:$J$113,MATCH($F67,Matches!$B$4:$B$113,0),8)</f>
        <v>Schotland</v>
      </c>
      <c r="E67" s="480" t="str">
        <f>INDEX(Matches!$B$4:$J$113,MATCH($F67,Matches!$B$4:$B$113,0),9)</f>
        <v>Brazilië</v>
      </c>
      <c r="F67" s="483">
        <v>49</v>
      </c>
      <c r="G67" s="482" t="str">
        <f>INDEX(Matches!$B$4:$J$113,MATCH($F67,Matches!$B$4:$B$113,0),2)</f>
        <v>C4</v>
      </c>
      <c r="H67" s="482" t="str">
        <f>INDEX(Matches!$B$4:$J$113,MATCH($F67,Matches!$B$4:$B$113,0),3)</f>
        <v>C1</v>
      </c>
      <c r="I67" s="482" t="str">
        <f>IFERROR(VLOOKUP($F67,Matches!$B$4:$H$113,7,0),"")</f>
        <v>Miami</v>
      </c>
      <c r="J67" s="713"/>
      <c r="K67" s="714"/>
    </row>
    <row r="68" spans="2:11">
      <c r="B68" s="478">
        <f>INDEX(Matches!$B$4:$J$113,MATCH($F68,Matches!$B$4:$B$113,0),5)</f>
        <v>46198</v>
      </c>
      <c r="C68" s="479">
        <f>INDEX(Matches!$B$4:$J$113,MATCH($F68,Matches!$B$4:$B$113,0),5)</f>
        <v>46198</v>
      </c>
      <c r="D68" s="480" t="str">
        <f>INDEX(Matches!$B$4:$J$113,MATCH($F68,Matches!$B$4:$B$113,0),8)</f>
        <v>Marokko</v>
      </c>
      <c r="E68" s="480" t="str">
        <f>INDEX(Matches!$B$4:$J$113,MATCH($F68,Matches!$B$4:$B$113,0),9)</f>
        <v>Haïti</v>
      </c>
      <c r="F68" s="483">
        <v>50</v>
      </c>
      <c r="G68" s="482" t="str">
        <f>INDEX(Matches!$B$4:$J$113,MATCH($F68,Matches!$B$4:$B$113,0),2)</f>
        <v>C2</v>
      </c>
      <c r="H68" s="482" t="str">
        <f>INDEX(Matches!$B$4:$J$113,MATCH($F68,Matches!$B$4:$B$113,0),3)</f>
        <v>C3</v>
      </c>
      <c r="I68" s="482" t="str">
        <f>IFERROR(VLOOKUP($F68,Matches!$B$4:$H$113,7,0),"")</f>
        <v>Atlanta</v>
      </c>
      <c r="J68" s="713"/>
      <c r="K68" s="714"/>
    </row>
    <row r="69" spans="2:11">
      <c r="B69" s="478">
        <f>INDEX(Matches!$B$4:$J$113,MATCH($F69,Matches!$B$4:$B$113,0),5)</f>
        <v>46198.125</v>
      </c>
      <c r="C69" s="479">
        <f>INDEX(Matches!$B$4:$J$113,MATCH($F69,Matches!$B$4:$B$113,0),5)</f>
        <v>46198.125</v>
      </c>
      <c r="D69" s="480" t="str">
        <f>INDEX(Matches!$B$4:$J$113,MATCH($F69,Matches!$B$4:$B$113,0),8)</f>
        <v>Tsjechië</v>
      </c>
      <c r="E69" s="480" t="str">
        <f>INDEX(Matches!$B$4:$J$113,MATCH($F69,Matches!$B$4:$B$113,0),9)</f>
        <v>Mexico</v>
      </c>
      <c r="F69" s="483">
        <v>53</v>
      </c>
      <c r="G69" s="482" t="str">
        <f>INDEX(Matches!$B$4:$J$113,MATCH($F69,Matches!$B$4:$B$113,0),2)</f>
        <v>A4</v>
      </c>
      <c r="H69" s="482" t="str">
        <f>INDEX(Matches!$B$4:$J$113,MATCH($F69,Matches!$B$4:$B$113,0),3)</f>
        <v>A1</v>
      </c>
      <c r="I69" s="482" t="str">
        <f>IFERROR(VLOOKUP($F69,Matches!$B$4:$H$113,7,0),"")</f>
        <v>Mexico City</v>
      </c>
      <c r="J69" s="713"/>
      <c r="K69" s="714"/>
    </row>
    <row r="70" spans="2:11">
      <c r="B70" s="478">
        <f>INDEX(Matches!$B$4:$J$113,MATCH($F70,Matches!$B$4:$B$113,0),5)</f>
        <v>46198.125</v>
      </c>
      <c r="C70" s="479">
        <f>INDEX(Matches!$B$4:$J$113,MATCH($F70,Matches!$B$4:$B$113,0),5)</f>
        <v>46198.125</v>
      </c>
      <c r="D70" s="480" t="str">
        <f>INDEX(Matches!$B$4:$J$113,MATCH($F70,Matches!$B$4:$B$113,0),8)</f>
        <v>Zuid-Afrika</v>
      </c>
      <c r="E70" s="480" t="str">
        <f>INDEX(Matches!$B$4:$J$113,MATCH($F70,Matches!$B$4:$B$113,0),9)</f>
        <v>Rep. Korea</v>
      </c>
      <c r="F70" s="483">
        <v>54</v>
      </c>
      <c r="G70" s="482" t="str">
        <f>INDEX(Matches!$B$4:$J$113,MATCH($F70,Matches!$B$4:$B$113,0),2)</f>
        <v>A2</v>
      </c>
      <c r="H70" s="482" t="str">
        <f>INDEX(Matches!$B$4:$J$113,MATCH($F70,Matches!$B$4:$B$113,0),3)</f>
        <v>A3</v>
      </c>
      <c r="I70" s="482" t="str">
        <f>IFERROR(VLOOKUP($F70,Matches!$B$4:$H$113,7,0),"")</f>
        <v>Monterrey</v>
      </c>
      <c r="J70" s="713"/>
      <c r="K70" s="714"/>
    </row>
    <row r="71" spans="2:11">
      <c r="B71" s="484"/>
      <c r="C71" s="485"/>
      <c r="D71" s="486"/>
      <c r="E71" s="486"/>
      <c r="F71" s="487"/>
      <c r="G71" s="488"/>
      <c r="H71" s="488"/>
      <c r="I71" s="488"/>
      <c r="J71" s="488"/>
      <c r="K71" s="489"/>
    </row>
    <row r="72" spans="2:11">
      <c r="B72" s="478">
        <f>INDEX(Matches!$B$4:$J$113,MATCH($F72,Matches!$B$4:$B$113,0),5)</f>
        <v>46198.916666666664</v>
      </c>
      <c r="C72" s="479">
        <f>INDEX(Matches!$B$4:$J$113,MATCH($F72,Matches!$B$4:$B$113,0),5)</f>
        <v>46198.916666666664</v>
      </c>
      <c r="D72" s="480" t="str">
        <f>INDEX(Matches!$B$4:$J$113,MATCH($F72,Matches!$B$4:$B$113,0),8)</f>
        <v>Curacao</v>
      </c>
      <c r="E72" s="480" t="str">
        <f>INDEX(Matches!$B$4:$J$113,MATCH($F72,Matches!$B$4:$B$113,0),9)</f>
        <v>Ivoorkust</v>
      </c>
      <c r="F72" s="483">
        <v>55</v>
      </c>
      <c r="G72" s="482" t="str">
        <f>INDEX(Matches!$B$4:$J$113,MATCH($F72,Matches!$B$4:$B$113,0),2)</f>
        <v>E2</v>
      </c>
      <c r="H72" s="482" t="str">
        <f>INDEX(Matches!$B$4:$J$113,MATCH($F72,Matches!$B$4:$B$113,0),3)</f>
        <v>E3</v>
      </c>
      <c r="I72" s="482" t="str">
        <f>IFERROR(VLOOKUP($F72,Matches!$B$4:$H$113,7,0),"")</f>
        <v>Philadelphia</v>
      </c>
      <c r="J72" s="713"/>
      <c r="K72" s="714"/>
    </row>
    <row r="73" spans="2:11">
      <c r="B73" s="478">
        <f>INDEX(Matches!$B$4:$J$113,MATCH($F73,Matches!$B$4:$B$113,0),5)</f>
        <v>46198.916666666664</v>
      </c>
      <c r="C73" s="479">
        <f>INDEX(Matches!$B$4:$J$113,MATCH($F73,Matches!$B$4:$B$113,0),5)</f>
        <v>46198.916666666664</v>
      </c>
      <c r="D73" s="480" t="str">
        <f>INDEX(Matches!$B$4:$J$113,MATCH($F73,Matches!$B$4:$B$113,0),8)</f>
        <v>Ecuador</v>
      </c>
      <c r="E73" s="480" t="str">
        <f>INDEX(Matches!$B$4:$J$113,MATCH($F73,Matches!$B$4:$B$113,0),9)</f>
        <v>Duitsland</v>
      </c>
      <c r="F73" s="483">
        <v>56</v>
      </c>
      <c r="G73" s="482" t="str">
        <f>INDEX(Matches!$B$4:$J$113,MATCH($F73,Matches!$B$4:$B$113,0),2)</f>
        <v>E4</v>
      </c>
      <c r="H73" s="482" t="str">
        <f>INDEX(Matches!$B$4:$J$113,MATCH($F73,Matches!$B$4:$B$113,0),3)</f>
        <v>E1</v>
      </c>
      <c r="I73" s="482" t="str">
        <f>IFERROR(VLOOKUP($F73,Matches!$B$4:$H$113,7,0),"")</f>
        <v>New York/New Jersey</v>
      </c>
      <c r="J73" s="713"/>
      <c r="K73" s="714"/>
    </row>
    <row r="74" spans="2:11">
      <c r="B74" s="478">
        <f>INDEX(Matches!$B$4:$J$113,MATCH($F74,Matches!$B$4:$B$113,0),5)</f>
        <v>46199.041666666664</v>
      </c>
      <c r="C74" s="479">
        <f>INDEX(Matches!$B$4:$J$113,MATCH($F74,Matches!$B$4:$B$113,0),5)</f>
        <v>46199.041666666664</v>
      </c>
      <c r="D74" s="480" t="str">
        <f>INDEX(Matches!$B$4:$J$113,MATCH($F74,Matches!$B$4:$B$113,0),8)</f>
        <v>Japan</v>
      </c>
      <c r="E74" s="480" t="str">
        <f>INDEX(Matches!$B$4:$J$113,MATCH($F74,Matches!$B$4:$B$113,0),9)</f>
        <v>Zweden</v>
      </c>
      <c r="F74" s="483">
        <v>57</v>
      </c>
      <c r="G74" s="482" t="str">
        <f>INDEX(Matches!$B$4:$J$113,MATCH($F74,Matches!$B$4:$B$113,0),2)</f>
        <v>F2</v>
      </c>
      <c r="H74" s="482" t="str">
        <f>INDEX(Matches!$B$4:$J$113,MATCH($F74,Matches!$B$4:$B$113,0),3)</f>
        <v>F3</v>
      </c>
      <c r="I74" s="482" t="str">
        <f>IFERROR(VLOOKUP($F74,Matches!$B$4:$H$113,7,0),"")</f>
        <v>Dallas</v>
      </c>
      <c r="J74" s="713"/>
      <c r="K74" s="714"/>
    </row>
    <row r="75" spans="2:11">
      <c r="B75" s="478">
        <f>INDEX(Matches!$B$4:$J$113,MATCH($F75,Matches!$B$4:$B$113,0),5)</f>
        <v>46199.041666666664</v>
      </c>
      <c r="C75" s="479">
        <f>INDEX(Matches!$B$4:$J$113,MATCH($F75,Matches!$B$4:$B$113,0),5)</f>
        <v>46199.041666666664</v>
      </c>
      <c r="D75" s="480" t="str">
        <f>INDEX(Matches!$B$4:$J$113,MATCH($F75,Matches!$B$4:$B$113,0),8)</f>
        <v>Tunesië</v>
      </c>
      <c r="E75" s="480" t="str">
        <f>INDEX(Matches!$B$4:$J$113,MATCH($F75,Matches!$B$4:$B$113,0),9)</f>
        <v>Nederland</v>
      </c>
      <c r="F75" s="483">
        <v>58</v>
      </c>
      <c r="G75" s="482" t="str">
        <f>INDEX(Matches!$B$4:$J$113,MATCH($F75,Matches!$B$4:$B$113,0),2)</f>
        <v>F4</v>
      </c>
      <c r="H75" s="482" t="str">
        <f>INDEX(Matches!$B$4:$J$113,MATCH($F75,Matches!$B$4:$B$113,0),3)</f>
        <v>F1</v>
      </c>
      <c r="I75" s="482" t="str">
        <f>IFERROR(VLOOKUP($F75,Matches!$B$4:$H$113,7,0),"")</f>
        <v>Kansas City</v>
      </c>
      <c r="J75" s="713"/>
      <c r="K75" s="714"/>
    </row>
    <row r="76" spans="2:11">
      <c r="B76" s="478">
        <f>INDEX(Matches!$B$4:$J$113,MATCH($F76,Matches!$B$4:$B$113,0),5)</f>
        <v>46199.166666666664</v>
      </c>
      <c r="C76" s="479">
        <f>INDEX(Matches!$B$4:$J$113,MATCH($F76,Matches!$B$4:$B$113,0),5)</f>
        <v>46199.166666666664</v>
      </c>
      <c r="D76" s="480" t="str">
        <f>INDEX(Matches!$B$4:$J$113,MATCH($F76,Matches!$B$4:$B$113,0),8)</f>
        <v>Turkije</v>
      </c>
      <c r="E76" s="480" t="str">
        <f>INDEX(Matches!$B$4:$J$113,MATCH($F76,Matches!$B$4:$B$113,0),9)</f>
        <v>USA</v>
      </c>
      <c r="F76" s="483">
        <v>59</v>
      </c>
      <c r="G76" s="482" t="str">
        <f>INDEX(Matches!$B$4:$J$113,MATCH($F76,Matches!$B$4:$B$113,0),2)</f>
        <v>D4</v>
      </c>
      <c r="H76" s="482" t="str">
        <f>INDEX(Matches!$B$4:$J$113,MATCH($F76,Matches!$B$4:$B$113,0),3)</f>
        <v>D1</v>
      </c>
      <c r="I76" s="482" t="str">
        <f>IFERROR(VLOOKUP($F76,Matches!$B$4:$H$113,7,0),"")</f>
        <v>Los Angeles</v>
      </c>
      <c r="J76" s="713"/>
      <c r="K76" s="714"/>
    </row>
    <row r="77" spans="2:11">
      <c r="B77" s="478">
        <f>INDEX(Matches!$B$4:$J$113,MATCH($F77,Matches!$B$4:$B$113,0),5)</f>
        <v>46199.166666666664</v>
      </c>
      <c r="C77" s="479">
        <f>INDEX(Matches!$B$4:$J$113,MATCH($F77,Matches!$B$4:$B$113,0),5)</f>
        <v>46199.166666666664</v>
      </c>
      <c r="D77" s="480" t="str">
        <f>INDEX(Matches!$B$4:$J$113,MATCH($F77,Matches!$B$4:$B$113,0),8)</f>
        <v>Paraguay</v>
      </c>
      <c r="E77" s="480" t="str">
        <f>INDEX(Matches!$B$4:$J$113,MATCH($F77,Matches!$B$4:$B$113,0),9)</f>
        <v>Australië</v>
      </c>
      <c r="F77" s="483">
        <v>60</v>
      </c>
      <c r="G77" s="482" t="str">
        <f>INDEX(Matches!$B$4:$J$113,MATCH($F77,Matches!$B$4:$B$113,0),2)</f>
        <v>D2</v>
      </c>
      <c r="H77" s="482" t="str">
        <f>INDEX(Matches!$B$4:$J$113,MATCH($F77,Matches!$B$4:$B$113,0),3)</f>
        <v>D3</v>
      </c>
      <c r="I77" s="482" t="str">
        <f>IFERROR(VLOOKUP($F77,Matches!$B$4:$H$113,7,0),"")</f>
        <v>San Francisco Bay Area</v>
      </c>
      <c r="J77" s="713"/>
      <c r="K77" s="714"/>
    </row>
    <row r="78" spans="2:11">
      <c r="B78" s="484"/>
      <c r="C78" s="485"/>
      <c r="D78" s="486"/>
      <c r="E78" s="486"/>
      <c r="F78" s="487"/>
      <c r="G78" s="488"/>
      <c r="H78" s="488"/>
      <c r="I78" s="488"/>
      <c r="J78" s="488"/>
      <c r="K78" s="489"/>
    </row>
    <row r="79" spans="2:11">
      <c r="B79" s="478">
        <f>INDEX(Matches!$B$4:$J$113,MATCH($F79,Matches!$B$4:$B$113,0),5)</f>
        <v>46199.875</v>
      </c>
      <c r="C79" s="479">
        <f>INDEX(Matches!$B$4:$J$113,MATCH($F79,Matches!$B$4:$B$113,0),5)</f>
        <v>46199.875</v>
      </c>
      <c r="D79" s="480" t="str">
        <f>INDEX(Matches!$B$4:$J$113,MATCH($F79,Matches!$B$4:$B$113,0),8)</f>
        <v>Noorwegen</v>
      </c>
      <c r="E79" s="480" t="str">
        <f>INDEX(Matches!$B$4:$J$113,MATCH($F79,Matches!$B$4:$B$113,0),9)</f>
        <v>Frankrijk</v>
      </c>
      <c r="F79" s="483">
        <v>61</v>
      </c>
      <c r="G79" s="482" t="str">
        <f>INDEX(Matches!$B$4:$J$113,MATCH($F79,Matches!$B$4:$B$113,0),2)</f>
        <v>I4</v>
      </c>
      <c r="H79" s="482" t="str">
        <f>INDEX(Matches!$B$4:$J$113,MATCH($F79,Matches!$B$4:$B$113,0),3)</f>
        <v>I1</v>
      </c>
      <c r="I79" s="482" t="str">
        <f>IFERROR(VLOOKUP($F79,Matches!$B$4:$H$113,7,0),"")</f>
        <v>Boston</v>
      </c>
      <c r="J79" s="713"/>
      <c r="K79" s="714"/>
    </row>
    <row r="80" spans="2:11">
      <c r="B80" s="478">
        <f>INDEX(Matches!$B$4:$J$113,MATCH($F80,Matches!$B$4:$B$113,0),5)</f>
        <v>46199.875</v>
      </c>
      <c r="C80" s="479">
        <f>INDEX(Matches!$B$4:$J$113,MATCH($F80,Matches!$B$4:$B$113,0),5)</f>
        <v>46199.875</v>
      </c>
      <c r="D80" s="480" t="str">
        <f>INDEX(Matches!$B$4:$J$113,MATCH($F80,Matches!$B$4:$B$113,0),8)</f>
        <v>Senegal</v>
      </c>
      <c r="E80" s="480" t="str">
        <f>INDEX(Matches!$B$4:$J$113,MATCH($F80,Matches!$B$4:$B$113,0),9)</f>
        <v>Irak</v>
      </c>
      <c r="F80" s="483">
        <v>62</v>
      </c>
      <c r="G80" s="482" t="str">
        <f>INDEX(Matches!$B$4:$J$113,MATCH($F80,Matches!$B$4:$B$113,0),2)</f>
        <v>I2</v>
      </c>
      <c r="H80" s="482" t="str">
        <f>INDEX(Matches!$B$4:$J$113,MATCH($F80,Matches!$B$4:$B$113,0),3)</f>
        <v>I3</v>
      </c>
      <c r="I80" s="482" t="str">
        <f>IFERROR(VLOOKUP($F80,Matches!$B$4:$H$113,7,0),"")</f>
        <v>Toronto</v>
      </c>
      <c r="J80" s="713"/>
      <c r="K80" s="714"/>
    </row>
    <row r="81" spans="2:11">
      <c r="B81" s="478">
        <f>INDEX(Matches!$B$4:$J$113,MATCH($F81,Matches!$B$4:$B$113,0),5)</f>
        <v>46200.083333333336</v>
      </c>
      <c r="C81" s="479">
        <f>INDEX(Matches!$B$4:$J$113,MATCH($F81,Matches!$B$4:$B$113,0),5)</f>
        <v>46200.083333333336</v>
      </c>
      <c r="D81" s="480" t="str">
        <f>INDEX(Matches!$B$4:$J$113,MATCH($F81,Matches!$B$4:$B$113,0),8)</f>
        <v>Kaapverdië</v>
      </c>
      <c r="E81" s="480" t="str">
        <f>INDEX(Matches!$B$4:$J$113,MATCH($F81,Matches!$B$4:$B$113,0),9)</f>
        <v>Saoedi-Arabië</v>
      </c>
      <c r="F81" s="483">
        <v>65</v>
      </c>
      <c r="G81" s="482" t="str">
        <f>INDEX(Matches!$B$4:$J$113,MATCH($F81,Matches!$B$4:$B$113,0),2)</f>
        <v>H2</v>
      </c>
      <c r="H81" s="482" t="str">
        <f>INDEX(Matches!$B$4:$J$113,MATCH($F81,Matches!$B$4:$B$113,0),3)</f>
        <v>H3</v>
      </c>
      <c r="I81" s="482" t="str">
        <f>IFERROR(VLOOKUP($F81,Matches!$B$4:$H$113,7,0),"")</f>
        <v>Houston</v>
      </c>
      <c r="J81" s="713"/>
      <c r="K81" s="714"/>
    </row>
    <row r="82" spans="2:11">
      <c r="B82" s="478">
        <f>INDEX(Matches!$B$4:$J$113,MATCH($F82,Matches!$B$4:$B$113,0),5)</f>
        <v>46200.083333333336</v>
      </c>
      <c r="C82" s="479">
        <f>INDEX(Matches!$B$4:$J$113,MATCH($F82,Matches!$B$4:$B$113,0),5)</f>
        <v>46200.083333333336</v>
      </c>
      <c r="D82" s="480" t="str">
        <f>INDEX(Matches!$B$4:$J$113,MATCH($F82,Matches!$B$4:$B$113,0),8)</f>
        <v>Uruguay</v>
      </c>
      <c r="E82" s="480" t="str">
        <f>INDEX(Matches!$B$4:$J$113,MATCH($F82,Matches!$B$4:$B$113,0),9)</f>
        <v>Spanje</v>
      </c>
      <c r="F82" s="483">
        <v>66</v>
      </c>
      <c r="G82" s="482" t="str">
        <f>INDEX(Matches!$B$4:$J$113,MATCH($F82,Matches!$B$4:$B$113,0),2)</f>
        <v>H4</v>
      </c>
      <c r="H82" s="482" t="str">
        <f>INDEX(Matches!$B$4:$J$113,MATCH($F82,Matches!$B$4:$B$113,0),3)</f>
        <v>H1</v>
      </c>
      <c r="I82" s="482" t="str">
        <f>IFERROR(VLOOKUP($F82,Matches!$B$4:$H$113,7,0),"")</f>
        <v>Guadalajara</v>
      </c>
      <c r="J82" s="713"/>
      <c r="K82" s="714"/>
    </row>
    <row r="83" spans="2:11">
      <c r="B83" s="478">
        <f>INDEX(Matches!$B$4:$J$113,MATCH($F83,Matches!$B$4:$B$113,0),5)</f>
        <v>46200.208333333336</v>
      </c>
      <c r="C83" s="479">
        <f>INDEX(Matches!$B$4:$J$113,MATCH($F83,Matches!$B$4:$B$113,0),5)</f>
        <v>46200.208333333336</v>
      </c>
      <c r="D83" s="480" t="str">
        <f>INDEX(Matches!$B$4:$J$113,MATCH($F83,Matches!$B$4:$B$113,0),8)</f>
        <v>Egypte</v>
      </c>
      <c r="E83" s="480" t="str">
        <f>INDEX(Matches!$B$4:$J$113,MATCH($F83,Matches!$B$4:$B$113,0),9)</f>
        <v>IR Iran</v>
      </c>
      <c r="F83" s="483">
        <v>63</v>
      </c>
      <c r="G83" s="482" t="str">
        <f>INDEX(Matches!$B$4:$J$113,MATCH($F83,Matches!$B$4:$B$113,0),2)</f>
        <v>G2</v>
      </c>
      <c r="H83" s="482" t="str">
        <f>INDEX(Matches!$B$4:$J$113,MATCH($F83,Matches!$B$4:$B$113,0),3)</f>
        <v>G3</v>
      </c>
      <c r="I83" s="482" t="str">
        <f>IFERROR(VLOOKUP($F83,Matches!$B$4:$H$113,7,0),"")</f>
        <v>Seattle</v>
      </c>
      <c r="J83" s="713"/>
      <c r="K83" s="714"/>
    </row>
    <row r="84" spans="2:11">
      <c r="B84" s="478">
        <f>INDEX(Matches!$B$4:$J$113,MATCH($F84,Matches!$B$4:$B$113,0),5)</f>
        <v>46200.208333333336</v>
      </c>
      <c r="C84" s="479">
        <f>INDEX(Matches!$B$4:$J$113,MATCH($F84,Matches!$B$4:$B$113,0),5)</f>
        <v>46200.208333333336</v>
      </c>
      <c r="D84" s="480" t="str">
        <f>INDEX(Matches!$B$4:$J$113,MATCH($F84,Matches!$B$4:$B$113,0),8)</f>
        <v>Nieuw-Zeeland</v>
      </c>
      <c r="E84" s="480" t="str">
        <f>INDEX(Matches!$B$4:$J$113,MATCH($F84,Matches!$B$4:$B$113,0),9)</f>
        <v>België</v>
      </c>
      <c r="F84" s="483">
        <v>64</v>
      </c>
      <c r="G84" s="482" t="str">
        <f>INDEX(Matches!$B$4:$J$113,MATCH($F84,Matches!$B$4:$B$113,0),2)</f>
        <v>G4</v>
      </c>
      <c r="H84" s="482" t="str">
        <f>INDEX(Matches!$B$4:$J$113,MATCH($F84,Matches!$B$4:$B$113,0),3)</f>
        <v>G1</v>
      </c>
      <c r="I84" s="482" t="str">
        <f>IFERROR(VLOOKUP($F84,Matches!$B$4:$H$113,7,0),"")</f>
        <v>Vancouver</v>
      </c>
      <c r="J84" s="713"/>
      <c r="K84" s="714"/>
    </row>
    <row r="85" spans="2:11">
      <c r="B85" s="484"/>
      <c r="C85" s="485"/>
      <c r="D85" s="486"/>
      <c r="E85" s="486"/>
      <c r="F85" s="487"/>
      <c r="G85" s="488"/>
      <c r="H85" s="488"/>
      <c r="I85" s="488"/>
      <c r="J85" s="488"/>
      <c r="K85" s="489"/>
    </row>
    <row r="86" spans="2:11">
      <c r="B86" s="478">
        <f>INDEX(Matches!$B$4:$J$113,MATCH($F86,Matches!$B$4:$B$113,0),5)</f>
        <v>46200.958333333336</v>
      </c>
      <c r="C86" s="479">
        <f>INDEX(Matches!$B$4:$J$113,MATCH($F86,Matches!$B$4:$B$113,0),5)</f>
        <v>46200.958333333336</v>
      </c>
      <c r="D86" s="480" t="str">
        <f>INDEX(Matches!$B$4:$J$113,MATCH($F86,Matches!$B$4:$B$113,0),8)</f>
        <v>Panama</v>
      </c>
      <c r="E86" s="480" t="str">
        <f>INDEX(Matches!$B$4:$J$113,MATCH($F86,Matches!$B$4:$B$113,0),9)</f>
        <v>Engeland</v>
      </c>
      <c r="F86" s="483">
        <v>67</v>
      </c>
      <c r="G86" s="482" t="str">
        <f>INDEX(Matches!$B$4:$J$113,MATCH($F86,Matches!$B$4:$B$113,0),2)</f>
        <v>L4</v>
      </c>
      <c r="H86" s="482" t="str">
        <f>INDEX(Matches!$B$4:$J$113,MATCH($F86,Matches!$B$4:$B$113,0),3)</f>
        <v>L1</v>
      </c>
      <c r="I86" s="482" t="str">
        <f>IFERROR(VLOOKUP($F86,Matches!$B$4:$H$113,7,0),"")</f>
        <v>New York/New Jersey</v>
      </c>
      <c r="J86" s="713"/>
      <c r="K86" s="714"/>
    </row>
    <row r="87" spans="2:11">
      <c r="B87" s="478">
        <f>INDEX(Matches!$B$4:$J$113,MATCH($F87,Matches!$B$4:$B$113,0),5)</f>
        <v>46200.958333333336</v>
      </c>
      <c r="C87" s="479">
        <f>INDEX(Matches!$B$4:$J$113,MATCH($F87,Matches!$B$4:$B$113,0),5)</f>
        <v>46200.958333333336</v>
      </c>
      <c r="D87" s="480" t="str">
        <f>INDEX(Matches!$B$4:$J$113,MATCH($F87,Matches!$B$4:$B$113,0),8)</f>
        <v>Kroatië</v>
      </c>
      <c r="E87" s="480" t="str">
        <f>INDEX(Matches!$B$4:$J$113,MATCH($F87,Matches!$B$4:$B$113,0),9)</f>
        <v>Ghana</v>
      </c>
      <c r="F87" s="483">
        <v>68</v>
      </c>
      <c r="G87" s="482" t="str">
        <f>INDEX(Matches!$B$4:$J$113,MATCH($F87,Matches!$B$4:$B$113,0),2)</f>
        <v>L2</v>
      </c>
      <c r="H87" s="482" t="str">
        <f>INDEX(Matches!$B$4:$J$113,MATCH($F87,Matches!$B$4:$B$113,0),3)</f>
        <v>L3</v>
      </c>
      <c r="I87" s="482" t="str">
        <f>IFERROR(VLOOKUP($F87,Matches!$B$4:$H$113,7,0),"")</f>
        <v>Philadelphia</v>
      </c>
      <c r="J87" s="713"/>
      <c r="K87" s="714"/>
    </row>
    <row r="88" spans="2:11">
      <c r="B88" s="478">
        <f>INDEX(Matches!$B$4:$J$113,MATCH($F88,Matches!$B$4:$B$113,0),5)</f>
        <v>46201.0625</v>
      </c>
      <c r="C88" s="479">
        <f>INDEX(Matches!$B$4:$J$113,MATCH($F88,Matches!$B$4:$B$113,0),5)</f>
        <v>46201.0625</v>
      </c>
      <c r="D88" s="480" t="str">
        <f>INDEX(Matches!$B$4:$J$113,MATCH($F88,Matches!$B$4:$B$113,0),8)</f>
        <v>Colombia</v>
      </c>
      <c r="E88" s="480" t="str">
        <f>INDEX(Matches!$B$4:$J$113,MATCH($F88,Matches!$B$4:$B$113,0),9)</f>
        <v>Portugal</v>
      </c>
      <c r="F88" s="483">
        <v>71</v>
      </c>
      <c r="G88" s="482" t="str">
        <f>INDEX(Matches!$B$4:$J$113,MATCH($F88,Matches!$B$4:$B$113,0),2)</f>
        <v>K4</v>
      </c>
      <c r="H88" s="482" t="str">
        <f>INDEX(Matches!$B$4:$J$113,MATCH($F88,Matches!$B$4:$B$113,0),3)</f>
        <v>K1</v>
      </c>
      <c r="I88" s="482" t="str">
        <f>IFERROR(VLOOKUP($F88,Matches!$B$4:$H$113,7,0),"")</f>
        <v>Miami</v>
      </c>
      <c r="J88" s="713"/>
      <c r="K88" s="714"/>
    </row>
    <row r="89" spans="2:11">
      <c r="B89" s="478">
        <f>INDEX(Matches!$B$4:$J$113,MATCH($F89,Matches!$B$4:$B$113,0),5)</f>
        <v>46201.0625</v>
      </c>
      <c r="C89" s="479">
        <f>INDEX(Matches!$B$4:$J$113,MATCH($F89,Matches!$B$4:$B$113,0),5)</f>
        <v>46201.0625</v>
      </c>
      <c r="D89" s="480" t="str">
        <f>INDEX(Matches!$B$4:$J$113,MATCH($F89,Matches!$B$4:$B$113,0),8)</f>
        <v>DR Congo</v>
      </c>
      <c r="E89" s="480" t="str">
        <f>INDEX(Matches!$B$4:$J$113,MATCH($F89,Matches!$B$4:$B$113,0),9)</f>
        <v>Oezbekistan</v>
      </c>
      <c r="F89" s="483">
        <v>72</v>
      </c>
      <c r="G89" s="482" t="str">
        <f>INDEX(Matches!$B$4:$J$113,MATCH($F89,Matches!$B$4:$B$113,0),2)</f>
        <v>K2</v>
      </c>
      <c r="H89" s="482" t="str">
        <f>INDEX(Matches!$B$4:$J$113,MATCH($F89,Matches!$B$4:$B$113,0),3)</f>
        <v>K3</v>
      </c>
      <c r="I89" s="482" t="str">
        <f>IFERROR(VLOOKUP($F89,Matches!$B$4:$H$113,7,0),"")</f>
        <v>Atlanta</v>
      </c>
      <c r="J89" s="713"/>
      <c r="K89" s="714"/>
    </row>
    <row r="90" spans="2:11">
      <c r="B90" s="478">
        <f>INDEX(Matches!$B$4:$J$113,MATCH($F90,Matches!$B$4:$B$113,0),5)</f>
        <v>46201.166666666664</v>
      </c>
      <c r="C90" s="479">
        <f>INDEX(Matches!$B$4:$J$113,MATCH($F90,Matches!$B$4:$B$113,0),5)</f>
        <v>46201.166666666664</v>
      </c>
      <c r="D90" s="480" t="str">
        <f>INDEX(Matches!$B$4:$J$113,MATCH($F90,Matches!$B$4:$B$113,0),8)</f>
        <v>Algerije</v>
      </c>
      <c r="E90" s="480" t="str">
        <f>INDEX(Matches!$B$4:$J$113,MATCH($F90,Matches!$B$4:$B$113,0),9)</f>
        <v>Oostenrijk</v>
      </c>
      <c r="F90" s="483">
        <v>69</v>
      </c>
      <c r="G90" s="482" t="str">
        <f>INDEX(Matches!$B$4:$J$113,MATCH($F90,Matches!$B$4:$B$113,0),2)</f>
        <v>J2</v>
      </c>
      <c r="H90" s="482" t="str">
        <f>INDEX(Matches!$B$4:$J$113,MATCH($F90,Matches!$B$4:$B$113,0),3)</f>
        <v>J3</v>
      </c>
      <c r="I90" s="482" t="str">
        <f>IFERROR(VLOOKUP($F90,Matches!$B$4:$H$113,7,0),"")</f>
        <v>Kansas City</v>
      </c>
      <c r="J90" s="713"/>
      <c r="K90" s="714"/>
    </row>
    <row r="91" spans="2:11">
      <c r="B91" s="478">
        <f>INDEX(Matches!$B$4:$J$113,MATCH($F91,Matches!$B$4:$B$113,0),5)</f>
        <v>46201.166666666664</v>
      </c>
      <c r="C91" s="479">
        <f>INDEX(Matches!$B$4:$J$113,MATCH($F91,Matches!$B$4:$B$113,0),5)</f>
        <v>46201.166666666664</v>
      </c>
      <c r="D91" s="480" t="str">
        <f>INDEX(Matches!$B$4:$J$113,MATCH($F91,Matches!$B$4:$B$113,0),8)</f>
        <v>Jordanië</v>
      </c>
      <c r="E91" s="480" t="str">
        <f>INDEX(Matches!$B$4:$J$113,MATCH($F91,Matches!$B$4:$B$113,0),9)</f>
        <v>Argentinië</v>
      </c>
      <c r="F91" s="483">
        <v>70</v>
      </c>
      <c r="G91" s="482" t="str">
        <f>INDEX(Matches!$B$4:$J$113,MATCH($F91,Matches!$B$4:$B$113,0),2)</f>
        <v>J4</v>
      </c>
      <c r="H91" s="482" t="str">
        <f>INDEX(Matches!$B$4:$J$113,MATCH($F91,Matches!$B$4:$B$113,0),3)</f>
        <v>J1</v>
      </c>
      <c r="I91" s="482" t="str">
        <f>IFERROR(VLOOKUP($F91,Matches!$B$4:$H$113,7,0),"")</f>
        <v>Dallas</v>
      </c>
      <c r="J91" s="713"/>
      <c r="K91" s="714"/>
    </row>
    <row r="92" spans="2:11">
      <c r="B92" s="484"/>
      <c r="C92" s="485"/>
      <c r="D92" s="486"/>
      <c r="E92" s="486"/>
      <c r="F92" s="487"/>
      <c r="G92" s="488"/>
      <c r="H92" s="561"/>
      <c r="I92" s="561"/>
      <c r="J92" s="561"/>
      <c r="K92" s="562"/>
    </row>
    <row r="93" spans="2:11">
      <c r="B93" s="563" t="str">
        <f>Language!$E$256</f>
        <v>ronde van 32</v>
      </c>
      <c r="C93" s="564"/>
      <c r="D93" s="565"/>
      <c r="E93" s="565"/>
      <c r="F93" s="566"/>
      <c r="G93" s="567"/>
      <c r="H93" s="568"/>
      <c r="I93" s="568"/>
      <c r="J93" s="569"/>
      <c r="K93" s="570"/>
    </row>
    <row r="94" spans="2:11">
      <c r="B94" s="478">
        <f>INDEX(Matches!$B$4:$J$113,MATCH($F94,Matches!$B$4:$B$113,0),5)</f>
        <v>46201.875</v>
      </c>
      <c r="C94" s="479">
        <f>INDEX(Matches!$B$4:$J$113,MATCH($F94,Matches!$B$4:$B$113,0),5)</f>
        <v>46201.875</v>
      </c>
      <c r="D94" s="480" t="str">
        <f>INDEX(Matches!$B$4:$J$113,MATCH($F94,Matches!$B$4:$B$113,0),8)</f>
        <v/>
      </c>
      <c r="E94" s="480" t="str">
        <f>INDEX(Matches!$B$4:$J$113,MATCH($F94,Matches!$B$4:$B$113,0),9)</f>
        <v/>
      </c>
      <c r="F94" s="483">
        <v>73</v>
      </c>
      <c r="G94" s="482" t="str">
        <f>INDEX(Matches!$B$4:$J$113,MATCH($F94,Matches!$B$4:$B$113,0),2)</f>
        <v>2A</v>
      </c>
      <c r="H94" s="482" t="str">
        <f>INDEX(Matches!$B$4:$J$113,MATCH($F94,Matches!$B$4:$B$113,0),3)</f>
        <v>2B</v>
      </c>
      <c r="I94" s="482" t="str">
        <f>IFERROR(VLOOKUP($F94,Matches!$B$4:$H$113,7,0),"")</f>
        <v>Los Angeles</v>
      </c>
      <c r="J94" s="713"/>
      <c r="K94" s="714"/>
    </row>
    <row r="95" spans="2:11">
      <c r="B95" s="478"/>
      <c r="C95" s="479"/>
      <c r="D95" s="784"/>
      <c r="E95" s="784"/>
      <c r="F95" s="483"/>
      <c r="G95" s="482"/>
      <c r="H95" s="482"/>
      <c r="I95" s="482"/>
      <c r="J95" s="481"/>
      <c r="K95" s="786"/>
    </row>
    <row r="96" spans="2:11">
      <c r="B96" s="478">
        <f>INDEX(Matches!$B$4:$J$113,MATCH($F96,Matches!$B$4:$B$113,0),5)</f>
        <v>46202.791666666664</v>
      </c>
      <c r="C96" s="479">
        <f>INDEX(Matches!$B$4:$J$113,MATCH($F96,Matches!$B$4:$B$113,0),5)</f>
        <v>46202.791666666664</v>
      </c>
      <c r="D96" s="480" t="str">
        <f>INDEX(Matches!$B$4:$J$113,MATCH($F96,Matches!$B$4:$B$113,0),8)</f>
        <v/>
      </c>
      <c r="E96" s="480" t="str">
        <f>INDEX(Matches!$B$4:$J$113,MATCH($F96,Matches!$B$4:$B$113,0),9)</f>
        <v/>
      </c>
      <c r="F96" s="483">
        <v>76</v>
      </c>
      <c r="G96" s="482" t="str">
        <f>INDEX(Matches!$B$4:$J$113,MATCH($F96,Matches!$B$4:$B$113,0),2)</f>
        <v>1C</v>
      </c>
      <c r="H96" s="482" t="str">
        <f>INDEX(Matches!$B$4:$J$113,MATCH($F96,Matches!$B$4:$B$113,0),3)</f>
        <v>2F</v>
      </c>
      <c r="I96" s="482" t="str">
        <f>IFERROR(VLOOKUP($F96,Matches!$B$4:$H$113,7,0),"")</f>
        <v>Houston</v>
      </c>
      <c r="J96" s="713"/>
      <c r="K96" s="714"/>
    </row>
    <row r="97" spans="2:11">
      <c r="B97" s="478">
        <f>INDEX(Matches!$B$4:$J$113,MATCH($F97,Matches!$B$4:$B$113,0),5)</f>
        <v>46202.9375</v>
      </c>
      <c r="C97" s="479">
        <f>INDEX(Matches!$B$4:$J$113,MATCH($F97,Matches!$B$4:$B$113,0),5)</f>
        <v>46202.9375</v>
      </c>
      <c r="D97" s="480" t="str">
        <f>INDEX(Matches!$B$4:$J$113,MATCH($F97,Matches!$B$4:$B$113,0),8)</f>
        <v/>
      </c>
      <c r="E97" s="480" t="str">
        <f>INDEX(Matches!$B$4:$J$113,MATCH($F97,Matches!$B$4:$B$113,0),9)</f>
        <v/>
      </c>
      <c r="F97" s="483">
        <v>74</v>
      </c>
      <c r="G97" s="482" t="str">
        <f>INDEX(Matches!$B$4:$J$113,MATCH($F97,Matches!$B$4:$B$113,0),2)</f>
        <v>1E</v>
      </c>
      <c r="H97" s="482" t="str">
        <f>INDEX(Matches!$B$4:$J$113,MATCH($F97,Matches!$B$4:$B$113,0),3)</f>
        <v>3-ABCDF</v>
      </c>
      <c r="I97" s="482" t="str">
        <f>IFERROR(VLOOKUP($F97,Matches!$B$4:$H$113,7,0),"")</f>
        <v>Boston</v>
      </c>
      <c r="J97" s="713"/>
      <c r="K97" s="714"/>
    </row>
    <row r="98" spans="2:11">
      <c r="B98" s="478">
        <f>INDEX(Matches!$B$4:$J$113,MATCH($F98,Matches!$B$4:$B$113,0),5)</f>
        <v>46203.125</v>
      </c>
      <c r="C98" s="479">
        <f>INDEX(Matches!$B$4:$J$113,MATCH($F98,Matches!$B$4:$B$113,0),5)</f>
        <v>46203.125</v>
      </c>
      <c r="D98" s="480" t="str">
        <f>INDEX(Matches!$B$4:$J$113,MATCH($F98,Matches!$B$4:$B$113,0),8)</f>
        <v/>
      </c>
      <c r="E98" s="480" t="str">
        <f>INDEX(Matches!$B$4:$J$113,MATCH($F98,Matches!$B$4:$B$113,0),9)</f>
        <v/>
      </c>
      <c r="F98" s="483">
        <v>75</v>
      </c>
      <c r="G98" s="482" t="str">
        <f>INDEX(Matches!$B$4:$J$113,MATCH($F98,Matches!$B$4:$B$113,0),2)</f>
        <v>1F</v>
      </c>
      <c r="H98" s="482" t="str">
        <f>INDEX(Matches!$B$4:$J$113,MATCH($F98,Matches!$B$4:$B$113,0),3)</f>
        <v>2C</v>
      </c>
      <c r="I98" s="482" t="str">
        <f>IFERROR(VLOOKUP($F98,Matches!$B$4:$H$113,7,0),"")</f>
        <v>Monterrey</v>
      </c>
      <c r="J98" s="713"/>
      <c r="K98" s="714"/>
    </row>
    <row r="99" spans="2:11">
      <c r="B99" s="484"/>
      <c r="C99" s="485"/>
      <c r="D99" s="486"/>
      <c r="E99" s="486"/>
      <c r="F99" s="487"/>
      <c r="G99" s="488"/>
      <c r="H99" s="488"/>
      <c r="I99" s="488"/>
      <c r="J99" s="488"/>
      <c r="K99" s="489"/>
    </row>
    <row r="100" spans="2:11">
      <c r="B100" s="478">
        <f>INDEX(Matches!$B$4:$J$113,MATCH($F100,Matches!$B$4:$B$113,0),5)</f>
        <v>46203.791666666664</v>
      </c>
      <c r="C100" s="479">
        <f>INDEX(Matches!$B$4:$J$113,MATCH($F100,Matches!$B$4:$B$113,0),5)</f>
        <v>46203.791666666664</v>
      </c>
      <c r="D100" s="480" t="str">
        <f>INDEX(Matches!$B$4:$J$113,MATCH($F100,Matches!$B$4:$B$113,0),8)</f>
        <v/>
      </c>
      <c r="E100" s="480" t="str">
        <f>INDEX(Matches!$B$4:$J$113,MATCH($F100,Matches!$B$4:$B$113,0),9)</f>
        <v/>
      </c>
      <c r="F100" s="483">
        <v>78</v>
      </c>
      <c r="G100" s="482" t="str">
        <f>INDEX(Matches!$B$4:$J$113,MATCH($F100,Matches!$B$4:$B$113,0),2)</f>
        <v>2E</v>
      </c>
      <c r="H100" s="482" t="str">
        <f>INDEX(Matches!$B$4:$J$113,MATCH($F100,Matches!$B$4:$B$113,0),3)</f>
        <v>2I</v>
      </c>
      <c r="I100" s="482" t="str">
        <f>IFERROR(VLOOKUP($F100,Matches!$B$4:$H$113,7,0),"")</f>
        <v>Dallas</v>
      </c>
      <c r="J100" s="713"/>
      <c r="K100" s="714"/>
    </row>
    <row r="101" spans="2:11">
      <c r="B101" s="478">
        <f>INDEX(Matches!$B$4:$J$113,MATCH($F101,Matches!$B$4:$B$113,0),5)</f>
        <v>46203.958333333336</v>
      </c>
      <c r="C101" s="479">
        <f>INDEX(Matches!$B$4:$J$113,MATCH($F101,Matches!$B$4:$B$113,0),5)</f>
        <v>46203.958333333336</v>
      </c>
      <c r="D101" s="480" t="str">
        <f>INDEX(Matches!$B$4:$J$113,MATCH($F101,Matches!$B$4:$B$113,0),8)</f>
        <v/>
      </c>
      <c r="E101" s="480" t="str">
        <f>INDEX(Matches!$B$4:$J$113,MATCH($F101,Matches!$B$4:$B$113,0),9)</f>
        <v/>
      </c>
      <c r="F101" s="483">
        <v>77</v>
      </c>
      <c r="G101" s="482" t="str">
        <f>INDEX(Matches!$B$4:$J$113,MATCH($F101,Matches!$B$4:$B$113,0),2)</f>
        <v>1I</v>
      </c>
      <c r="H101" s="482" t="str">
        <f>INDEX(Matches!$B$4:$J$113,MATCH($F101,Matches!$B$4:$B$113,0),3)</f>
        <v>3-CDFGH</v>
      </c>
      <c r="I101" s="482" t="str">
        <f>IFERROR(VLOOKUP($F101,Matches!$B$4:$H$113,7,0),"")</f>
        <v>New York/New Jersey</v>
      </c>
      <c r="J101" s="713"/>
      <c r="K101" s="714"/>
    </row>
    <row r="102" spans="2:11">
      <c r="B102" s="478">
        <f>INDEX(Matches!$B$4:$J$113,MATCH($F102,Matches!$B$4:$B$113,0),5)</f>
        <v>46204.125</v>
      </c>
      <c r="C102" s="479">
        <f>INDEX(Matches!$B$4:$J$113,MATCH($F102,Matches!$B$4:$B$113,0),5)</f>
        <v>46204.125</v>
      </c>
      <c r="D102" s="480" t="str">
        <f>INDEX(Matches!$B$4:$J$113,MATCH($F102,Matches!$B$4:$B$113,0),8)</f>
        <v/>
      </c>
      <c r="E102" s="480" t="str">
        <f>INDEX(Matches!$B$4:$J$113,MATCH($F102,Matches!$B$4:$B$113,0),9)</f>
        <v/>
      </c>
      <c r="F102" s="483">
        <v>79</v>
      </c>
      <c r="G102" s="482" t="str">
        <f>INDEX(Matches!$B$4:$J$113,MATCH($F102,Matches!$B$4:$B$113,0),2)</f>
        <v>1A</v>
      </c>
      <c r="H102" s="482" t="str">
        <f>INDEX(Matches!$B$4:$J$113,MATCH($F102,Matches!$B$4:$B$113,0),3)</f>
        <v>3-CEFHI</v>
      </c>
      <c r="I102" s="482" t="str">
        <f>IFERROR(VLOOKUP($F102,Matches!$B$4:$H$113,7,0),"")</f>
        <v>Mexico City</v>
      </c>
      <c r="J102" s="713"/>
      <c r="K102" s="714"/>
    </row>
    <row r="103" spans="2:11">
      <c r="B103" s="478"/>
      <c r="C103" s="479"/>
      <c r="D103" s="784"/>
      <c r="E103" s="784"/>
      <c r="F103" s="483"/>
      <c r="G103" s="482"/>
      <c r="H103" s="482"/>
      <c r="I103" s="482"/>
      <c r="J103" s="481"/>
      <c r="K103" s="786"/>
    </row>
    <row r="104" spans="2:11">
      <c r="B104" s="478">
        <f>INDEX(Matches!$B$4:$J$113,MATCH($F104,Matches!$B$4:$B$113,0),5)</f>
        <v>46204.75</v>
      </c>
      <c r="C104" s="479">
        <f>INDEX(Matches!$B$4:$J$113,MATCH($F104,Matches!$B$4:$B$113,0),5)</f>
        <v>46204.75</v>
      </c>
      <c r="D104" s="480" t="str">
        <f>INDEX(Matches!$B$4:$J$113,MATCH($F104,Matches!$B$4:$B$113,0),8)</f>
        <v/>
      </c>
      <c r="E104" s="480" t="str">
        <f>INDEX(Matches!$B$4:$J$113,MATCH($F104,Matches!$B$4:$B$113,0),9)</f>
        <v/>
      </c>
      <c r="F104" s="483">
        <v>80</v>
      </c>
      <c r="G104" s="482" t="str">
        <f>INDEX(Matches!$B$4:$J$113,MATCH($F104,Matches!$B$4:$B$113,0),2)</f>
        <v>1L</v>
      </c>
      <c r="H104" s="482" t="str">
        <f>INDEX(Matches!$B$4:$J$113,MATCH($F104,Matches!$B$4:$B$113,0),3)</f>
        <v>3-EHIJK</v>
      </c>
      <c r="I104" s="482" t="str">
        <f>IFERROR(VLOOKUP($F104,Matches!$B$4:$H$113,7,0),"")</f>
        <v>Atlanta</v>
      </c>
      <c r="J104" s="713"/>
      <c r="K104" s="714"/>
    </row>
    <row r="105" spans="2:11">
      <c r="B105" s="478">
        <f>INDEX(Matches!$B$4:$J$113,MATCH($F105,Matches!$B$4:$B$113,0),5)</f>
        <v>46204.916666666664</v>
      </c>
      <c r="C105" s="479">
        <f>INDEX(Matches!$B$4:$J$113,MATCH($F105,Matches!$B$4:$B$113,0),5)</f>
        <v>46204.916666666664</v>
      </c>
      <c r="D105" s="480" t="str">
        <f>INDEX(Matches!$B$4:$J$113,MATCH($F105,Matches!$B$4:$B$113,0),8)</f>
        <v/>
      </c>
      <c r="E105" s="480" t="str">
        <f>INDEX(Matches!$B$4:$J$113,MATCH($F105,Matches!$B$4:$B$113,0),9)</f>
        <v/>
      </c>
      <c r="F105" s="483">
        <v>82</v>
      </c>
      <c r="G105" s="482" t="str">
        <f>INDEX(Matches!$B$4:$J$113,MATCH($F105,Matches!$B$4:$B$113,0),2)</f>
        <v>1G</v>
      </c>
      <c r="H105" s="482" t="str">
        <f>INDEX(Matches!$B$4:$J$113,MATCH($F105,Matches!$B$4:$B$113,0),3)</f>
        <v>3-AEHIJ</v>
      </c>
      <c r="I105" s="482" t="str">
        <f>IFERROR(VLOOKUP($F105,Matches!$B$4:$H$113,7,0),"")</f>
        <v>Seattle</v>
      </c>
      <c r="J105" s="713"/>
      <c r="K105" s="714"/>
    </row>
    <row r="106" spans="2:11">
      <c r="B106" s="478">
        <f>INDEX(Matches!$B$4:$J$113,MATCH($F106,Matches!$B$4:$B$113,0),5)</f>
        <v>46205.083333333336</v>
      </c>
      <c r="C106" s="479">
        <f>INDEX(Matches!$B$4:$J$113,MATCH($F106,Matches!$B$4:$B$113,0),5)</f>
        <v>46205.083333333336</v>
      </c>
      <c r="D106" s="480" t="str">
        <f>INDEX(Matches!$B$4:$J$113,MATCH($F106,Matches!$B$4:$B$113,0),8)</f>
        <v/>
      </c>
      <c r="E106" s="480" t="str">
        <f>INDEX(Matches!$B$4:$J$113,MATCH($F106,Matches!$B$4:$B$113,0),9)</f>
        <v/>
      </c>
      <c r="F106" s="483">
        <v>81</v>
      </c>
      <c r="G106" s="482" t="str">
        <f>INDEX(Matches!$B$4:$J$113,MATCH($F106,Matches!$B$4:$B$113,0),2)</f>
        <v>1D</v>
      </c>
      <c r="H106" s="482" t="str">
        <f>INDEX(Matches!$B$4:$J$113,MATCH($F106,Matches!$B$4:$B$113,0),3)</f>
        <v>3-BEFIJ</v>
      </c>
      <c r="I106" s="482" t="str">
        <f>IFERROR(VLOOKUP($F106,Matches!$B$4:$H$113,7,0),"")</f>
        <v>San Francisco Bay Area</v>
      </c>
      <c r="J106" s="713"/>
      <c r="K106" s="714"/>
    </row>
    <row r="107" spans="2:11">
      <c r="B107" s="484"/>
      <c r="C107" s="485"/>
      <c r="D107" s="486"/>
      <c r="E107" s="486"/>
      <c r="F107" s="487"/>
      <c r="G107" s="488"/>
      <c r="H107" s="488"/>
      <c r="I107" s="488"/>
      <c r="J107" s="488"/>
      <c r="K107" s="489"/>
    </row>
    <row r="108" spans="2:11">
      <c r="B108" s="478">
        <f>INDEX(Matches!$B$4:$J$113,MATCH($F108,Matches!$B$4:$B$113,0),5)</f>
        <v>46205.875</v>
      </c>
      <c r="C108" s="479">
        <f>INDEX(Matches!$B$4:$J$113,MATCH($F108,Matches!$B$4:$B$113,0),5)</f>
        <v>46205.875</v>
      </c>
      <c r="D108" s="480" t="str">
        <f>INDEX(Matches!$B$4:$J$113,MATCH($F108,Matches!$B$4:$B$113,0),8)</f>
        <v/>
      </c>
      <c r="E108" s="480" t="str">
        <f>INDEX(Matches!$B$4:$J$113,MATCH($F108,Matches!$B$4:$B$113,0),9)</f>
        <v/>
      </c>
      <c r="F108" s="483">
        <v>84</v>
      </c>
      <c r="G108" s="482" t="str">
        <f>INDEX(Matches!$B$4:$J$113,MATCH($F108,Matches!$B$4:$B$113,0),2)</f>
        <v>1H</v>
      </c>
      <c r="H108" s="482" t="str">
        <f>INDEX(Matches!$B$4:$J$113,MATCH($F108,Matches!$B$4:$B$113,0),3)</f>
        <v>2J</v>
      </c>
      <c r="I108" s="482" t="str">
        <f>IFERROR(VLOOKUP($F108,Matches!$B$4:$H$113,7,0),"")</f>
        <v>Los Angeles</v>
      </c>
      <c r="J108" s="713"/>
      <c r="K108" s="714"/>
    </row>
    <row r="109" spans="2:11">
      <c r="B109" s="478">
        <f>INDEX(Matches!$B$4:$J$113,MATCH($F109,Matches!$B$4:$B$113,0),5)</f>
        <v>46206.041666666664</v>
      </c>
      <c r="C109" s="479">
        <f>INDEX(Matches!$B$4:$J$113,MATCH($F109,Matches!$B$4:$B$113,0),5)</f>
        <v>46206.041666666664</v>
      </c>
      <c r="D109" s="480" t="str">
        <f>INDEX(Matches!$B$4:$J$113,MATCH($F109,Matches!$B$4:$B$113,0),8)</f>
        <v/>
      </c>
      <c r="E109" s="480" t="str">
        <f>INDEX(Matches!$B$4:$J$113,MATCH($F109,Matches!$B$4:$B$113,0),9)</f>
        <v/>
      </c>
      <c r="F109" s="483">
        <v>83</v>
      </c>
      <c r="G109" s="482" t="str">
        <f>INDEX(Matches!$B$4:$J$113,MATCH($F109,Matches!$B$4:$B$113,0),2)</f>
        <v>2K</v>
      </c>
      <c r="H109" s="482" t="str">
        <f>INDEX(Matches!$B$4:$J$113,MATCH($F109,Matches!$B$4:$B$113,0),3)</f>
        <v>2L</v>
      </c>
      <c r="I109" s="482" t="str">
        <f>IFERROR(VLOOKUP($F109,Matches!$B$4:$H$113,7,0),"")</f>
        <v>Toronto</v>
      </c>
      <c r="J109" s="713"/>
      <c r="K109" s="714"/>
    </row>
    <row r="110" spans="2:11">
      <c r="B110" s="478">
        <f>INDEX(Matches!$B$4:$J$113,MATCH($F110,Matches!$B$4:$B$113,0),5)</f>
        <v>46206.208333333336</v>
      </c>
      <c r="C110" s="479">
        <f>INDEX(Matches!$B$4:$J$113,MATCH($F110,Matches!$B$4:$B$113,0),5)</f>
        <v>46206.208333333336</v>
      </c>
      <c r="D110" s="480" t="str">
        <f>INDEX(Matches!$B$4:$J$113,MATCH($F110,Matches!$B$4:$B$113,0),8)</f>
        <v/>
      </c>
      <c r="E110" s="480" t="str">
        <f>INDEX(Matches!$B$4:$J$113,MATCH($F110,Matches!$B$4:$B$113,0),9)</f>
        <v/>
      </c>
      <c r="F110" s="483">
        <v>85</v>
      </c>
      <c r="G110" s="482" t="str">
        <f>INDEX(Matches!$B$4:$J$113,MATCH($F110,Matches!$B$4:$B$113,0),2)</f>
        <v>1B</v>
      </c>
      <c r="H110" s="482" t="str">
        <f>INDEX(Matches!$B$4:$J$113,MATCH($F110,Matches!$B$4:$B$113,0),3)</f>
        <v>3-EFGIJ</v>
      </c>
      <c r="I110" s="482" t="str">
        <f>IFERROR(VLOOKUP($F110,Matches!$B$4:$H$113,7,0),"")</f>
        <v>Vancouver</v>
      </c>
      <c r="J110" s="713"/>
      <c r="K110" s="714"/>
    </row>
    <row r="111" spans="2:11">
      <c r="B111" s="478"/>
      <c r="C111" s="479"/>
      <c r="D111" s="784"/>
      <c r="E111" s="784"/>
      <c r="F111" s="483"/>
      <c r="G111" s="482"/>
      <c r="H111" s="482"/>
      <c r="I111" s="482"/>
      <c r="J111" s="481"/>
      <c r="K111" s="786"/>
    </row>
    <row r="112" spans="2:11">
      <c r="B112" s="478">
        <f>INDEX(Matches!$B$4:$J$113,MATCH($F112,Matches!$B$4:$B$113,0),5)</f>
        <v>46206.833333333336</v>
      </c>
      <c r="C112" s="479">
        <f>INDEX(Matches!$B$4:$J$113,MATCH($F112,Matches!$B$4:$B$113,0),5)</f>
        <v>46206.833333333336</v>
      </c>
      <c r="D112" s="480" t="str">
        <f>INDEX(Matches!$B$4:$J$113,MATCH($F112,Matches!$B$4:$B$113,0),8)</f>
        <v/>
      </c>
      <c r="E112" s="480" t="str">
        <f>INDEX(Matches!$B$4:$J$113,MATCH($F112,Matches!$B$4:$B$113,0),9)</f>
        <v/>
      </c>
      <c r="F112" s="483">
        <v>88</v>
      </c>
      <c r="G112" s="482" t="str">
        <f>INDEX(Matches!$B$4:$J$113,MATCH($F112,Matches!$B$4:$B$113,0),2)</f>
        <v>2D</v>
      </c>
      <c r="H112" s="482" t="str">
        <f>INDEX(Matches!$B$4:$J$113,MATCH($F112,Matches!$B$4:$B$113,0),3)</f>
        <v>2G</v>
      </c>
      <c r="I112" s="482" t="str">
        <f>IFERROR(VLOOKUP($F112,Matches!$B$4:$H$113,7,0),"")</f>
        <v>Dallas</v>
      </c>
      <c r="J112" s="713"/>
      <c r="K112" s="714"/>
    </row>
    <row r="113" spans="2:11">
      <c r="B113" s="478">
        <f>INDEX(Matches!$B$4:$J$113,MATCH($F113,Matches!$B$4:$B$113,0),5)</f>
        <v>46207</v>
      </c>
      <c r="C113" s="479">
        <f>INDEX(Matches!$B$4:$J$113,MATCH($F113,Matches!$B$4:$B$113,0),5)</f>
        <v>46207</v>
      </c>
      <c r="D113" s="480" t="str">
        <f>INDEX(Matches!$B$4:$J$113,MATCH($F113,Matches!$B$4:$B$113,0),8)</f>
        <v/>
      </c>
      <c r="E113" s="480" t="str">
        <f>INDEX(Matches!$B$4:$J$113,MATCH($F113,Matches!$B$4:$B$113,0),9)</f>
        <v/>
      </c>
      <c r="F113" s="483">
        <v>86</v>
      </c>
      <c r="G113" s="482" t="str">
        <f>INDEX(Matches!$B$4:$J$113,MATCH($F113,Matches!$B$4:$B$113,0),2)</f>
        <v>1J</v>
      </c>
      <c r="H113" s="482" t="str">
        <f>INDEX(Matches!$B$4:$J$113,MATCH($F113,Matches!$B$4:$B$113,0),3)</f>
        <v>2H</v>
      </c>
      <c r="I113" s="482" t="str">
        <f>IFERROR(VLOOKUP($F113,Matches!$B$4:$H$113,7,0),"")</f>
        <v>Miami</v>
      </c>
      <c r="J113" s="713"/>
      <c r="K113" s="714"/>
    </row>
    <row r="114" spans="2:11">
      <c r="B114" s="478">
        <f>INDEX(Matches!$B$4:$J$113,MATCH($F114,Matches!$B$4:$B$113,0),5)</f>
        <v>46207.145833333336</v>
      </c>
      <c r="C114" s="479">
        <f>INDEX(Matches!$B$4:$J$113,MATCH($F114,Matches!$B$4:$B$113,0),5)</f>
        <v>46207.145833333336</v>
      </c>
      <c r="D114" s="480" t="str">
        <f>INDEX(Matches!$B$4:$J$113,MATCH($F114,Matches!$B$4:$B$113,0),8)</f>
        <v/>
      </c>
      <c r="E114" s="480" t="str">
        <f>INDEX(Matches!$B$4:$J$113,MATCH($F114,Matches!$B$4:$B$113,0),9)</f>
        <v/>
      </c>
      <c r="F114" s="483">
        <v>87</v>
      </c>
      <c r="G114" s="482" t="str">
        <f>INDEX(Matches!$B$4:$J$113,MATCH($F114,Matches!$B$4:$B$113,0),2)</f>
        <v>1K</v>
      </c>
      <c r="H114" s="482" t="str">
        <f>INDEX(Matches!$B$4:$J$113,MATCH($F114,Matches!$B$4:$B$113,0),3)</f>
        <v>3-DEIJL</v>
      </c>
      <c r="I114" s="482" t="str">
        <f>IFERROR(VLOOKUP($F114,Matches!$B$4:$H$113,7,0),"")</f>
        <v>Kansas City</v>
      </c>
      <c r="J114" s="713"/>
      <c r="K114" s="714"/>
    </row>
    <row r="115" spans="2:11">
      <c r="B115" s="484"/>
      <c r="C115" s="485"/>
      <c r="D115" s="486"/>
      <c r="E115" s="486"/>
      <c r="F115" s="487"/>
      <c r="G115" s="488"/>
      <c r="H115" s="488"/>
      <c r="I115" s="488"/>
      <c r="J115" s="488"/>
      <c r="K115" s="489"/>
    </row>
    <row r="116" spans="2:11">
      <c r="B116" s="563" t="str">
        <f>Language!$E$257</f>
        <v>Achtste finale</v>
      </c>
      <c r="C116" s="564"/>
      <c r="D116" s="565"/>
      <c r="E116" s="565"/>
      <c r="F116" s="566"/>
      <c r="G116" s="567"/>
      <c r="H116" s="568"/>
      <c r="I116" s="568"/>
      <c r="J116" s="569"/>
      <c r="K116" s="570"/>
    </row>
    <row r="117" spans="2:11">
      <c r="B117" s="478">
        <f>INDEX(Matches!$B$4:$J$113,MATCH($F117,Matches!$B$4:$B$113,0),5)</f>
        <v>46207.791666666664</v>
      </c>
      <c r="C117" s="479">
        <f>INDEX(Matches!$B$4:$J$113,MATCH($F117,Matches!$B$4:$B$113,0),5)</f>
        <v>46207.791666666664</v>
      </c>
      <c r="D117" s="542" t="str">
        <f>'World Cup'!$E$60</f>
        <v/>
      </c>
      <c r="E117" s="542" t="str">
        <f>'World Cup'!$F$60</f>
        <v/>
      </c>
      <c r="F117" s="483">
        <v>90</v>
      </c>
      <c r="G117" s="482" t="str">
        <f>INDEX(Matches!$B$4:$J$113,MATCH($F117,Matches!$B$4:$B$113,0),2)</f>
        <v>W73</v>
      </c>
      <c r="H117" s="482" t="str">
        <f>INDEX(Matches!$B$4:$J$113,MATCH($F117,Matches!$B$4:$B$113,0),3)</f>
        <v>W75</v>
      </c>
      <c r="I117" s="482" t="str">
        <f>IFERROR(VLOOKUP($F117,Matches!$B$4:$H$113,7,0),"")</f>
        <v>Houston</v>
      </c>
      <c r="J117" s="713"/>
      <c r="K117" s="714"/>
    </row>
    <row r="118" spans="2:11">
      <c r="B118" s="478">
        <f>INDEX(Matches!$B$4:$J$113,MATCH($F118,Matches!$B$4:$B$113,0),5)</f>
        <v>46207.958333333336</v>
      </c>
      <c r="C118" s="479">
        <f>INDEX(Matches!$B$4:$J$113,MATCH($F118,Matches!$B$4:$B$113,0),5)</f>
        <v>46207.958333333336</v>
      </c>
      <c r="D118" s="542" t="str">
        <f>'World Cup'!$B$60</f>
        <v/>
      </c>
      <c r="E118" s="542" t="str">
        <f>'World Cup'!$C$60</f>
        <v/>
      </c>
      <c r="F118" s="483">
        <v>89</v>
      </c>
      <c r="G118" s="482" t="str">
        <f>INDEX(Matches!$B$4:$J$113,MATCH($F118,Matches!$B$4:$B$113,0),2)</f>
        <v>W74</v>
      </c>
      <c r="H118" s="482" t="str">
        <f>INDEX(Matches!$B$4:$J$113,MATCH($F118,Matches!$B$4:$B$113,0),3)</f>
        <v>W77</v>
      </c>
      <c r="I118" s="482" t="str">
        <f>IFERROR(VLOOKUP($F118,Matches!$B$4:$H$113,7,0),"")</f>
        <v>Philadelphia</v>
      </c>
      <c r="J118" s="713"/>
      <c r="K118" s="714"/>
    </row>
    <row r="119" spans="2:11">
      <c r="B119" s="484"/>
      <c r="C119" s="485"/>
      <c r="D119" s="486"/>
      <c r="E119" s="486"/>
      <c r="F119" s="487"/>
      <c r="G119" s="488"/>
      <c r="H119" s="488"/>
      <c r="I119" s="488"/>
      <c r="J119" s="488"/>
      <c r="K119" s="489"/>
    </row>
    <row r="120" spans="2:11">
      <c r="B120" s="478">
        <f>INDEX(Matches!$B$4:$J$113,MATCH($F120,Matches!$B$4:$B$113,0),5)</f>
        <v>46208.916666666664</v>
      </c>
      <c r="C120" s="479">
        <f>INDEX(Matches!$B$4:$J$113,MATCH($F120,Matches!$B$4:$B$113,0),5)</f>
        <v>46208.916666666664</v>
      </c>
      <c r="D120" s="542" t="str">
        <f>'World Cup'!$N$60</f>
        <v/>
      </c>
      <c r="E120" s="542" t="str">
        <f>'World Cup'!$O$60</f>
        <v/>
      </c>
      <c r="F120" s="483">
        <v>91</v>
      </c>
      <c r="G120" s="482" t="str">
        <f>INDEX(Matches!$B$4:$J$113,MATCH($F120,Matches!$B$4:$B$113,0),2)</f>
        <v>W76</v>
      </c>
      <c r="H120" s="482" t="str">
        <f>INDEX(Matches!$B$4:$J$113,MATCH($F120,Matches!$B$4:$B$113,0),3)</f>
        <v>W78</v>
      </c>
      <c r="I120" s="482" t="str">
        <f>IFERROR(VLOOKUP($F120,Matches!$B$4:$H$113,7,0),"")</f>
        <v>New York/New Jersey</v>
      </c>
      <c r="J120" s="713"/>
      <c r="K120" s="714"/>
    </row>
    <row r="121" spans="2:11">
      <c r="B121" s="478">
        <f>INDEX(Matches!$B$4:$J$113,MATCH($F121,Matches!$B$4:$B$113,0),5)</f>
        <v>46209.083333333336</v>
      </c>
      <c r="C121" s="479">
        <f>INDEX(Matches!$B$4:$J$113,MATCH($F121,Matches!$B$4:$B$113,0),5)</f>
        <v>46209.083333333336</v>
      </c>
      <c r="D121" s="542" t="str">
        <f>'World Cup'!$Q$60</f>
        <v/>
      </c>
      <c r="E121" s="542" t="str">
        <f>'World Cup'!$R$60</f>
        <v/>
      </c>
      <c r="F121" s="483">
        <v>92</v>
      </c>
      <c r="G121" s="482" t="str">
        <f>INDEX(Matches!$B$4:$J$113,MATCH($F121,Matches!$B$4:$B$113,0),2)</f>
        <v>W79</v>
      </c>
      <c r="H121" s="482" t="str">
        <f>INDEX(Matches!$B$4:$J$113,MATCH($F121,Matches!$B$4:$B$113,0),3)</f>
        <v>W80</v>
      </c>
      <c r="I121" s="482" t="str">
        <f>IFERROR(VLOOKUP($F121,Matches!$B$4:$H$113,7,0),"")</f>
        <v>Mexico City</v>
      </c>
      <c r="J121" s="713"/>
      <c r="K121" s="714"/>
    </row>
    <row r="122" spans="2:11">
      <c r="B122" s="484"/>
      <c r="C122" s="485"/>
      <c r="D122" s="486"/>
      <c r="E122" s="486"/>
      <c r="F122" s="487"/>
      <c r="G122" s="488"/>
      <c r="H122" s="488"/>
      <c r="I122" s="488"/>
      <c r="J122" s="488"/>
      <c r="K122" s="489"/>
    </row>
    <row r="123" spans="2:11">
      <c r="B123" s="478">
        <f>INDEX(Matches!$B$4:$J$113,MATCH($F123,Matches!$B$4:$B$113,0),5)</f>
        <v>46209.875</v>
      </c>
      <c r="C123" s="479">
        <f>INDEX(Matches!$B$4:$J$113,MATCH($F123,Matches!$B$4:$B$113,0),5)</f>
        <v>46209.875</v>
      </c>
      <c r="D123" s="542" t="str">
        <f>'World Cup'!$H$60</f>
        <v/>
      </c>
      <c r="E123" s="542" t="str">
        <f>'World Cup'!$I$60</f>
        <v/>
      </c>
      <c r="F123" s="483">
        <v>93</v>
      </c>
      <c r="G123" s="482" t="str">
        <f>INDEX(Matches!$B$4:$J$113,MATCH($F123,Matches!$B$4:$B$113,0),2)</f>
        <v>W83</v>
      </c>
      <c r="H123" s="482" t="str">
        <f>INDEX(Matches!$B$4:$J$113,MATCH($F123,Matches!$B$4:$B$113,0),3)</f>
        <v>W84</v>
      </c>
      <c r="I123" s="482" t="str">
        <f>IFERROR(VLOOKUP($F123,Matches!$B$4:$H$113,7,0),"")</f>
        <v>Dallas</v>
      </c>
      <c r="J123" s="713"/>
      <c r="K123" s="714"/>
    </row>
    <row r="124" spans="2:11">
      <c r="B124" s="478">
        <f>INDEX(Matches!$B$4:$J$113,MATCH($F124,Matches!$B$4:$B$113,0),5)</f>
        <v>46210.083333333336</v>
      </c>
      <c r="C124" s="479">
        <f>INDEX(Matches!$B$4:$J$113,MATCH($F124,Matches!$B$4:$B$113,0),5)</f>
        <v>46210.083333333336</v>
      </c>
      <c r="D124" s="542" t="str">
        <f>'World Cup'!$K$60</f>
        <v/>
      </c>
      <c r="E124" s="542" t="str">
        <f>'World Cup'!$L$60</f>
        <v/>
      </c>
      <c r="F124" s="483">
        <v>94</v>
      </c>
      <c r="G124" s="482" t="str">
        <f>INDEX(Matches!$B$4:$J$113,MATCH($F124,Matches!$B$4:$B$113,0),2)</f>
        <v>W81</v>
      </c>
      <c r="H124" s="482" t="str">
        <f>INDEX(Matches!$B$4:$J$113,MATCH($F124,Matches!$B$4:$B$113,0),3)</f>
        <v>W82</v>
      </c>
      <c r="I124" s="482" t="str">
        <f>IFERROR(VLOOKUP($F124,Matches!$B$4:$H$113,7,0),"")</f>
        <v>Seattle</v>
      </c>
      <c r="J124" s="713"/>
      <c r="K124" s="714"/>
    </row>
    <row r="125" spans="2:11">
      <c r="B125" s="484"/>
      <c r="C125" s="485"/>
      <c r="D125" s="486"/>
      <c r="E125" s="486"/>
      <c r="F125" s="487"/>
      <c r="G125" s="488"/>
      <c r="H125" s="488"/>
      <c r="I125" s="488"/>
      <c r="J125" s="488"/>
      <c r="K125" s="489"/>
    </row>
    <row r="126" spans="2:11">
      <c r="B126" s="478">
        <f>INDEX(Matches!$B$4:$J$113,MATCH($F126,Matches!$B$4:$B$113,0),5)</f>
        <v>46210.75</v>
      </c>
      <c r="C126" s="479">
        <f>INDEX(Matches!$B$4:$J$113,MATCH($F126,Matches!$B$4:$B$113,0),5)</f>
        <v>46210.75</v>
      </c>
      <c r="D126" s="542" t="str">
        <f>'World Cup'!$T$60</f>
        <v/>
      </c>
      <c r="E126" s="542" t="str">
        <f>'World Cup'!$U$60</f>
        <v/>
      </c>
      <c r="F126" s="483">
        <v>95</v>
      </c>
      <c r="G126" s="482" t="str">
        <f>INDEX(Matches!$B$4:$J$113,MATCH($F126,Matches!$B$4:$B$113,0),2)</f>
        <v>W86</v>
      </c>
      <c r="H126" s="482" t="str">
        <f>INDEX(Matches!$B$4:$J$113,MATCH($F126,Matches!$B$4:$B$113,0),3)</f>
        <v>W88</v>
      </c>
      <c r="I126" s="482" t="str">
        <f>IFERROR(VLOOKUP($F126,Matches!$B$4:$H$113,7,0),"")</f>
        <v>Atlanta</v>
      </c>
      <c r="J126" s="713"/>
      <c r="K126" s="714"/>
    </row>
    <row r="127" spans="2:11">
      <c r="B127" s="478">
        <f>INDEX(Matches!$B$4:$J$113,MATCH($F127,Matches!$B$4:$B$113,0),5)</f>
        <v>46210.916666666664</v>
      </c>
      <c r="C127" s="479">
        <f>INDEX(Matches!$B$4:$J$113,MATCH($F127,Matches!$B$4:$B$113,0),5)</f>
        <v>46210.916666666664</v>
      </c>
      <c r="D127" s="542" t="str">
        <f>'World Cup'!$W$60</f>
        <v/>
      </c>
      <c r="E127" s="542" t="str">
        <f>'World Cup'!$X$60</f>
        <v/>
      </c>
      <c r="F127" s="483">
        <v>96</v>
      </c>
      <c r="G127" s="482" t="str">
        <f>INDEX(Matches!$B$4:$J$113,MATCH($F127,Matches!$B$4:$B$113,0),2)</f>
        <v>W85</v>
      </c>
      <c r="H127" s="482" t="str">
        <f>INDEX(Matches!$B$4:$J$113,MATCH($F127,Matches!$B$4:$B$113,0),3)</f>
        <v>W87</v>
      </c>
      <c r="I127" s="482" t="str">
        <f>IFERROR(VLOOKUP($F127,Matches!$B$4:$H$113,7,0),"")</f>
        <v>Vancouver</v>
      </c>
      <c r="J127" s="713"/>
      <c r="K127" s="714"/>
    </row>
    <row r="128" spans="2:11">
      <c r="B128" s="484"/>
      <c r="C128" s="485"/>
      <c r="D128" s="486"/>
      <c r="E128" s="486"/>
      <c r="F128" s="487"/>
      <c r="G128" s="488"/>
      <c r="H128" s="488"/>
      <c r="I128" s="488"/>
      <c r="J128" s="488"/>
      <c r="K128" s="489"/>
    </row>
    <row r="129" spans="2:11">
      <c r="B129" s="563" t="str">
        <f>Language!$E$258</f>
        <v>Kwart finale</v>
      </c>
      <c r="C129" s="564"/>
      <c r="D129" s="565"/>
      <c r="E129" s="565"/>
      <c r="F129" s="566"/>
      <c r="G129" s="567"/>
      <c r="H129" s="568"/>
      <c r="I129" s="568"/>
      <c r="J129" s="569"/>
      <c r="K129" s="570"/>
    </row>
    <row r="130" spans="2:11">
      <c r="B130" s="478">
        <f>INDEX(Matches!$B$4:$J$113,MATCH($F130,Matches!$B$4:$B$113,0),5)</f>
        <v>46212.916666666664</v>
      </c>
      <c r="C130" s="479">
        <f>INDEX(Matches!$B$4:$J$113,MATCH($F130,Matches!$B$4:$B$113,0),5)</f>
        <v>46212.916666666664</v>
      </c>
      <c r="D130" s="542" t="str">
        <f>'World Cup'!$C$70</f>
        <v/>
      </c>
      <c r="E130" s="542" t="str">
        <f>'World Cup'!$E$70</f>
        <v/>
      </c>
      <c r="F130" s="483">
        <v>97</v>
      </c>
      <c r="G130" s="482" t="str">
        <f>INDEX(Matches!$B$4:$J$113,MATCH($F130,Matches!$B$4:$B$113,0),2)</f>
        <v>W89</v>
      </c>
      <c r="H130" s="482" t="str">
        <f>INDEX(Matches!$B$4:$J$113,MATCH($F130,Matches!$B$4:$B$113,0),3)</f>
        <v>W90</v>
      </c>
      <c r="I130" s="482" t="str">
        <f>IFERROR(VLOOKUP($F130,Matches!$B$4:$H$113,7,0),"")</f>
        <v>Boston</v>
      </c>
      <c r="J130" s="713"/>
      <c r="K130" s="714"/>
    </row>
    <row r="131" spans="2:11">
      <c r="B131" s="478"/>
      <c r="C131" s="479"/>
      <c r="D131" s="785"/>
      <c r="E131" s="785"/>
      <c r="F131" s="483"/>
      <c r="G131" s="482"/>
      <c r="H131" s="482"/>
      <c r="I131" s="482"/>
      <c r="J131" s="481"/>
      <c r="K131" s="786"/>
    </row>
    <row r="132" spans="2:11">
      <c r="B132" s="478">
        <f>INDEX(Matches!$B$4:$J$113,MATCH($F132,Matches!$B$4:$B$113,0),5)</f>
        <v>46213.875</v>
      </c>
      <c r="C132" s="479">
        <f>INDEX(Matches!$B$4:$J$113,MATCH($F132,Matches!$B$4:$B$113,0),5)</f>
        <v>46213.875</v>
      </c>
      <c r="D132" s="542" t="str">
        <f>'World Cup'!$I$70</f>
        <v/>
      </c>
      <c r="E132" s="542" t="str">
        <f>'World Cup'!$K$70</f>
        <v/>
      </c>
      <c r="F132" s="483">
        <v>98</v>
      </c>
      <c r="G132" s="482" t="str">
        <f>INDEX(Matches!$B$4:$J$113,MATCH($F132,Matches!$B$4:$B$113,0),2)</f>
        <v>W93</v>
      </c>
      <c r="H132" s="482" t="str">
        <f>INDEX(Matches!$B$4:$J$113,MATCH($F132,Matches!$B$4:$B$113,0),3)</f>
        <v>W94</v>
      </c>
      <c r="I132" s="482" t="str">
        <f>IFERROR(VLOOKUP($F132,Matches!$B$4:$H$113,7,0),"")</f>
        <v>Los Angeles</v>
      </c>
      <c r="J132" s="713"/>
      <c r="K132" s="714"/>
    </row>
    <row r="133" spans="2:11">
      <c r="B133" s="484"/>
      <c r="C133" s="485"/>
      <c r="D133" s="486"/>
      <c r="E133" s="486"/>
      <c r="F133" s="487"/>
      <c r="G133" s="488"/>
      <c r="H133" s="488"/>
      <c r="I133" s="488"/>
      <c r="J133" s="488"/>
      <c r="K133" s="489"/>
    </row>
    <row r="134" spans="2:11">
      <c r="B134" s="478">
        <f>INDEX(Matches!$B$4:$J$113,MATCH($F134,Matches!$B$4:$B$113,0),5)</f>
        <v>46214.958333333336</v>
      </c>
      <c r="C134" s="479">
        <f>INDEX(Matches!$B$4:$J$113,MATCH($F134,Matches!$B$4:$B$113,0),5)</f>
        <v>46214.958333333336</v>
      </c>
      <c r="D134" s="542" t="str">
        <f>'World Cup'!$O$70</f>
        <v/>
      </c>
      <c r="E134" s="542" t="str">
        <f>'World Cup'!$Q$70</f>
        <v/>
      </c>
      <c r="F134" s="483">
        <v>99</v>
      </c>
      <c r="G134" s="482" t="str">
        <f>INDEX(Matches!$B$4:$J$113,MATCH($F134,Matches!$B$4:$B$113,0),2)</f>
        <v>W91</v>
      </c>
      <c r="H134" s="482" t="str">
        <f>INDEX(Matches!$B$4:$J$113,MATCH($F134,Matches!$B$4:$B$113,0),3)</f>
        <v>W92</v>
      </c>
      <c r="I134" s="482" t="str">
        <f>IFERROR(VLOOKUP($F134,Matches!$B$4:$H$113,7,0),"")</f>
        <v>Miami</v>
      </c>
      <c r="J134" s="713"/>
      <c r="K134" s="714"/>
    </row>
    <row r="135" spans="2:11">
      <c r="B135" s="478">
        <f>INDEX(Matches!$B$4:$J$113,MATCH($F135,Matches!$B$4:$B$113,0),5)</f>
        <v>46215.125</v>
      </c>
      <c r="C135" s="479">
        <f>INDEX(Matches!$B$4:$J$113,MATCH($F135,Matches!$B$4:$B$113,0),5)</f>
        <v>46215.125</v>
      </c>
      <c r="D135" s="542" t="str">
        <f>'World Cup'!$U$70</f>
        <v/>
      </c>
      <c r="E135" s="542" t="str">
        <f>'World Cup'!$W$70</f>
        <v/>
      </c>
      <c r="F135" s="483">
        <v>100</v>
      </c>
      <c r="G135" s="482" t="str">
        <f>INDEX(Matches!$B$4:$J$113,MATCH($F135,Matches!$B$4:$B$113,0),2)</f>
        <v>W95</v>
      </c>
      <c r="H135" s="482" t="str">
        <f>INDEX(Matches!$B$4:$J$113,MATCH($F135,Matches!$B$4:$B$113,0),3)</f>
        <v>W96</v>
      </c>
      <c r="I135" s="482" t="str">
        <f>IFERROR(VLOOKUP($F135,Matches!$B$4:$H$113,7,0),"")</f>
        <v>Kansas City</v>
      </c>
      <c r="J135" s="713"/>
      <c r="K135" s="714"/>
    </row>
    <row r="136" spans="2:11">
      <c r="B136" s="484"/>
      <c r="C136" s="485"/>
      <c r="D136" s="486"/>
      <c r="E136" s="486"/>
      <c r="F136" s="487"/>
      <c r="G136" s="488"/>
      <c r="H136" s="488"/>
      <c r="I136" s="488"/>
      <c r="J136" s="488"/>
      <c r="K136" s="489"/>
    </row>
    <row r="137" spans="2:11">
      <c r="B137" s="563" t="str">
        <f>Language!$E$259</f>
        <v>Halve finale</v>
      </c>
      <c r="C137" s="564"/>
      <c r="D137" s="565"/>
      <c r="E137" s="565"/>
      <c r="F137" s="566"/>
      <c r="G137" s="567"/>
      <c r="H137" s="568"/>
      <c r="I137" s="568"/>
      <c r="J137" s="569"/>
      <c r="K137" s="570"/>
    </row>
    <row r="138" spans="2:11">
      <c r="B138" s="478">
        <f>INDEX(Matches!$B$4:$J$113,MATCH($F138,Matches!$B$4:$B$113,0),5)</f>
        <v>46217.875</v>
      </c>
      <c r="C138" s="479">
        <f>INDEX(Matches!$B$4:$J$113,MATCH($F138,Matches!$B$4:$B$113,0),5)</f>
        <v>46217.875</v>
      </c>
      <c r="D138" s="542" t="str">
        <f>'World Cup'!$F$80</f>
        <v/>
      </c>
      <c r="E138" s="542" t="str">
        <f>'World Cup'!$H$80</f>
        <v/>
      </c>
      <c r="F138" s="483">
        <v>101</v>
      </c>
      <c r="G138" s="482" t="str">
        <f>INDEX(Matches!$B$4:$J$113,MATCH($F138,Matches!$B$4:$B$113,0),2)</f>
        <v>W97</v>
      </c>
      <c r="H138" s="482" t="str">
        <f>INDEX(Matches!$B$4:$J$113,MATCH($F138,Matches!$B$4:$B$113,0),3)</f>
        <v>W98</v>
      </c>
      <c r="I138" s="482" t="str">
        <f>IFERROR(VLOOKUP($F138,Matches!$B$4:$H$113,7,0),"")</f>
        <v>Dallas</v>
      </c>
      <c r="J138" s="713"/>
      <c r="K138" s="714"/>
    </row>
    <row r="139" spans="2:11">
      <c r="B139" s="484"/>
      <c r="C139" s="485"/>
      <c r="D139" s="486"/>
      <c r="E139" s="486"/>
      <c r="F139" s="487"/>
      <c r="G139" s="488"/>
      <c r="H139" s="488"/>
      <c r="I139" s="488"/>
      <c r="J139" s="488"/>
      <c r="K139" s="489"/>
    </row>
    <row r="140" spans="2:11">
      <c r="B140" s="498">
        <f>INDEX(Matches!$B$4:$J$113,MATCH($F140,Matches!$B$4:$B$113,0),5)</f>
        <v>46218.875</v>
      </c>
      <c r="C140" s="499">
        <f>INDEX(Matches!$B$4:$J$113,MATCH($F140,Matches!$B$4:$B$113,0),5)</f>
        <v>46218.875</v>
      </c>
      <c r="D140" s="543" t="str">
        <f>'World Cup'!$R$80</f>
        <v/>
      </c>
      <c r="E140" s="543" t="str">
        <f>'World Cup'!$T$80</f>
        <v/>
      </c>
      <c r="F140" s="483">
        <v>102</v>
      </c>
      <c r="G140" s="482" t="str">
        <f>INDEX(Matches!$B$4:$J$113,MATCH($F140,Matches!$B$4:$B$113,0),2)</f>
        <v>W99</v>
      </c>
      <c r="H140" s="482" t="str">
        <f>INDEX(Matches!$B$4:$J$113,MATCH($F140,Matches!$B$4:$B$113,0),3)</f>
        <v>W100</v>
      </c>
      <c r="I140" s="482" t="str">
        <f>IFERROR(VLOOKUP($F140,Matches!$B$4:$H$113,7,0),"")</f>
        <v>Atlanta</v>
      </c>
      <c r="J140" s="713"/>
      <c r="K140" s="714"/>
    </row>
    <row r="141" spans="2:11">
      <c r="B141" s="484"/>
      <c r="C141" s="485"/>
      <c r="D141" s="486"/>
      <c r="E141" s="486"/>
      <c r="F141" s="487"/>
      <c r="G141" s="488"/>
      <c r="H141" s="488"/>
      <c r="I141" s="488"/>
      <c r="J141" s="488"/>
      <c r="K141" s="489"/>
    </row>
    <row r="142" spans="2:11">
      <c r="B142" s="563" t="str">
        <f>Language!$E$172</f>
        <v>Derde plaats</v>
      </c>
      <c r="C142" s="564"/>
      <c r="D142" s="565"/>
      <c r="E142" s="565"/>
      <c r="F142" s="566"/>
      <c r="G142" s="567"/>
      <c r="H142" s="568"/>
      <c r="I142" s="568"/>
      <c r="J142" s="569"/>
      <c r="K142" s="570"/>
    </row>
    <row r="143" spans="2:11">
      <c r="B143" s="478">
        <f>INDEX(Matches!$B$4:$J$113,MATCH($F143,Matches!$B$4:$B$113,0),5)</f>
        <v>46221.958333333336</v>
      </c>
      <c r="C143" s="479">
        <f>INDEX(Matches!$B$4:$J$113,MATCH($F143,Matches!$B$4:$B$113,0),5)</f>
        <v>46221.958333333336</v>
      </c>
      <c r="D143" s="542" t="str">
        <f>'World Cup'!$L$88</f>
        <v/>
      </c>
      <c r="E143" s="542" t="str">
        <f>'World Cup'!$N$88</f>
        <v/>
      </c>
      <c r="F143" s="483">
        <v>103</v>
      </c>
      <c r="G143" s="482" t="str">
        <f>INDEX(Matches!$B$4:$J$113,MATCH($F143,Matches!$B$4:$B$113,0),2)</f>
        <v>RU101</v>
      </c>
      <c r="H143" s="482" t="str">
        <f>INDEX(Matches!$B$4:$J$113,MATCH($F143,Matches!$B$4:$B$113,0),3)</f>
        <v>RU102</v>
      </c>
      <c r="I143" s="482" t="str">
        <f>IFERROR(VLOOKUP($F143,Matches!$B$4:$H$113,7,0),"")</f>
        <v>Miami</v>
      </c>
      <c r="J143" s="713"/>
      <c r="K143" s="714"/>
    </row>
    <row r="144" spans="2:11">
      <c r="B144" s="484"/>
      <c r="C144" s="485"/>
      <c r="D144" s="486"/>
      <c r="E144" s="486"/>
      <c r="F144" s="487"/>
      <c r="G144" s="488"/>
      <c r="H144" s="488"/>
      <c r="I144" s="488"/>
      <c r="J144" s="488"/>
      <c r="K144" s="489"/>
    </row>
    <row r="145" spans="2:11">
      <c r="B145" s="563" t="str">
        <f>Language!$E$173</f>
        <v>Finale</v>
      </c>
      <c r="C145" s="564"/>
      <c r="D145" s="565"/>
      <c r="E145" s="565"/>
      <c r="F145" s="566"/>
      <c r="G145" s="567"/>
      <c r="H145" s="568"/>
      <c r="I145" s="568"/>
      <c r="J145" s="569"/>
      <c r="K145" s="570"/>
    </row>
    <row r="146" spans="2:11" ht="15" thickBot="1">
      <c r="B146" s="500">
        <f>INDEX(Matches!$B$4:$J$113,MATCH($F146,Matches!$B$4:$B$113,0),5)</f>
        <v>46222.875</v>
      </c>
      <c r="C146" s="501">
        <f>INDEX(Matches!$B$4:$J$113,MATCH($F146,Matches!$B$4:$B$113,0),5)</f>
        <v>46222.875</v>
      </c>
      <c r="D146" s="544" t="str">
        <f>'World Cup'!$L$98</f>
        <v/>
      </c>
      <c r="E146" s="544" t="str">
        <f>'World Cup'!$N$98</f>
        <v/>
      </c>
      <c r="F146" s="502">
        <v>104</v>
      </c>
      <c r="G146" s="503" t="str">
        <f>INDEX(Matches!$B$4:$J$113,MATCH($F146,Matches!$B$4:$B$113,0),2)</f>
        <v>W101</v>
      </c>
      <c r="H146" s="503" t="str">
        <f>INDEX(Matches!$B$4:$J$113,MATCH($F146,Matches!$B$4:$B$113,0),3)</f>
        <v>W102</v>
      </c>
      <c r="I146" s="503" t="str">
        <f>IFERROR(VLOOKUP($F146,Matches!$B$4:$H$113,7,0),"")</f>
        <v>New York/New Jersey</v>
      </c>
      <c r="J146" s="715"/>
      <c r="K146" s="716"/>
    </row>
    <row r="147" spans="2:11" ht="15" thickTop="1"/>
    <row r="148" spans="2:11"/>
    <row r="149" spans="2:11"/>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21</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Brazilië</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6</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Marokko</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8</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Haïti</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83</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Schotland</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43</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Brazilië</v>
      </c>
      <c r="BF13" s="605" t="str">
        <v>Marokko</v>
      </c>
      <c r="BG13" s="605" t="str">
        <v>Haïti</v>
      </c>
      <c r="BH13" s="606" t="str">
        <v>Schotland</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Brazilië</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Brazilië</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Marokko</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Marokko</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Haïti</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Haïti</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Schotland</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Schotland</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Brazilië</v>
      </c>
      <c r="I21" s="633" t="str">
        <v>Marokko</v>
      </c>
      <c r="J21" s="633" t="str">
        <v>Haïti</v>
      </c>
      <c r="K21" s="634" t="str">
        <v>Schotland</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Brazilië</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6</v>
      </c>
      <c r="O22" s="643" t="s">
        <v>26</v>
      </c>
      <c r="P22" s="678" t="str">
        <f>INDEX('World Cup'!$B$13:$AJ$38,1,1+(CODE($B$1)-65)*3)</f>
        <v>Brazilië</v>
      </c>
      <c r="Q22" s="679" t="str">
        <f>INDEX('World Cup'!$B$13:$AJ$38,1,2+(CODE($B$1)-65)*3)</f>
        <v>Marokko</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BraziliëMarokko</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Marokko</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8</v>
      </c>
      <c r="O23" s="655" t="s">
        <v>27</v>
      </c>
      <c r="P23" s="681" t="str">
        <f>INDEX('World Cup'!$B$13:$AJ$38,6,1+(CODE($B$1)-65)*3)</f>
        <v>Haïti</v>
      </c>
      <c r="Q23" s="682" t="str">
        <f>INDEX('World Cup'!$B$13:$AJ$38,6,2+(CODE($B$1)-65)*3)</f>
        <v>Schotland</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HaïtiSchotland</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Haïti</v>
      </c>
      <c r="E24" s="700">
        <f t="shared" si="36"/>
        <v>0</v>
      </c>
      <c r="F24" s="582">
        <f t="shared" si="37"/>
        <v>0</v>
      </c>
      <c r="G24" s="707">
        <f t="shared" si="38"/>
        <v>0</v>
      </c>
      <c r="H24" s="639" t="str">
        <v/>
      </c>
      <c r="I24" s="582" t="str">
        <v/>
      </c>
      <c r="J24" s="640" t="str">
        <v/>
      </c>
      <c r="K24" s="703" t="str">
        <v/>
      </c>
      <c r="L24" s="691" t="b">
        <f t="shared" si="39"/>
        <v>0</v>
      </c>
      <c r="M24" s="691" t="b">
        <v>0</v>
      </c>
      <c r="N24" s="582">
        <f t="shared" si="40"/>
        <v>83</v>
      </c>
      <c r="O24" s="655" t="s">
        <v>28</v>
      </c>
      <c r="P24" s="681" t="str">
        <f>INDEX('World Cup'!$B$13:$AJ$38,11,1+(CODE($B$1)-65)*3)</f>
        <v>Schotland</v>
      </c>
      <c r="Q24" s="682" t="str">
        <f>INDEX('World Cup'!$B$13:$AJ$38,11,2+(CODE($B$1)-65)*3)</f>
        <v>Marokko</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SchotlandMarokko</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Schotland</v>
      </c>
      <c r="E25" s="708">
        <f t="shared" si="36"/>
        <v>0</v>
      </c>
      <c r="F25" s="642">
        <f t="shared" si="37"/>
        <v>0</v>
      </c>
      <c r="G25" s="709">
        <f t="shared" si="38"/>
        <v>0</v>
      </c>
      <c r="H25" s="641" t="str">
        <v/>
      </c>
      <c r="I25" s="642" t="str">
        <v/>
      </c>
      <c r="J25" s="642" t="str">
        <v/>
      </c>
      <c r="K25" s="704" t="str">
        <v/>
      </c>
      <c r="L25" s="691" t="b">
        <f t="shared" si="39"/>
        <v>0</v>
      </c>
      <c r="M25" s="691" t="b">
        <v>0</v>
      </c>
      <c r="N25" s="582">
        <f t="shared" si="40"/>
        <v>43</v>
      </c>
      <c r="O25" s="655" t="s">
        <v>29</v>
      </c>
      <c r="P25" s="681" t="str">
        <f>INDEX('World Cup'!$B$13:$AJ$38,16,1+(CODE($B$1)-65)*3)</f>
        <v>Brazilië</v>
      </c>
      <c r="Q25" s="682" t="str">
        <f>INDEX('World Cup'!$B$13:$AJ$38,16,2+(CODE($B$1)-65)*3)</f>
        <v>Haïti</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BraziliëHaïti</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Schotland</v>
      </c>
      <c r="Q26" s="682" t="str">
        <f>INDEX('World Cup'!$B$13:$AJ$38,21,2+(CODE($B$1)-65)*3)</f>
        <v>Brazilië</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SchotlandBrazilië</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Marokko</v>
      </c>
      <c r="Q27" s="685" t="str">
        <f>INDEX('World Cup'!$B$13:$AJ$38,26,2+(CODE($B$1)-65)*3)</f>
        <v>Haïti</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MarokkoHaïti</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MarokkoBrazilië</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SchotlandHaïti</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MarokkoSchotland</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HaïtiBrazilië</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BraziliëSchotland</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HaïtiMarokko</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25</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USA</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16</v>
      </c>
      <c r="R5" s="717">
        <f>(1000-Q5)*($L$9&gt;0)</f>
        <v>0</v>
      </c>
      <c r="S5" s="582"/>
      <c r="T5" s="582"/>
      <c r="U5" s="595"/>
      <c r="V5" s="582"/>
      <c r="W5" s="582"/>
      <c r="X5" s="595"/>
      <c r="Y5" s="582"/>
      <c r="Z5" s="582"/>
      <c r="AA5" s="582"/>
      <c r="AB5" s="595"/>
      <c r="AC5" s="582"/>
      <c r="AD5" s="582"/>
      <c r="AE5" s="582"/>
      <c r="AF5" s="595"/>
      <c r="AG5" s="582"/>
      <c r="AH5" s="582"/>
      <c r="AI5" s="582"/>
      <c r="AJ5" s="595"/>
      <c r="AK5" s="692"/>
      <c r="AL5" s="692"/>
      <c r="AM5" s="717"/>
      <c r="AN5" s="691"/>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Paraguay</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40</v>
      </c>
      <c r="R6" s="717">
        <f t="shared" ref="R6:R8" si="3">(1000-Q6)*($L$9&gt;0)</f>
        <v>0</v>
      </c>
      <c r="S6" s="582"/>
      <c r="T6" s="582"/>
      <c r="U6" s="595"/>
      <c r="V6" s="582"/>
      <c r="W6" s="582"/>
      <c r="X6" s="595"/>
      <c r="Y6" s="582"/>
      <c r="Z6" s="582"/>
      <c r="AA6" s="582"/>
      <c r="AB6" s="595"/>
      <c r="AC6" s="582"/>
      <c r="AD6" s="582"/>
      <c r="AE6" s="582"/>
      <c r="AF6" s="595"/>
      <c r="AG6" s="582"/>
      <c r="AH6" s="582"/>
      <c r="AI6" s="582"/>
      <c r="AJ6" s="595"/>
      <c r="AK6" s="692"/>
      <c r="AL6" s="692"/>
      <c r="AM6" s="717"/>
      <c r="AN6" s="691"/>
      <c r="AO6" s="691"/>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Australië</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27</v>
      </c>
      <c r="R7" s="717">
        <f t="shared" si="3"/>
        <v>0</v>
      </c>
      <c r="S7" s="582"/>
      <c r="T7" s="582"/>
      <c r="U7" s="595"/>
      <c r="V7" s="582"/>
      <c r="W7" s="582"/>
      <c r="X7" s="595"/>
      <c r="Y7" s="582"/>
      <c r="Z7" s="582"/>
      <c r="AA7" s="582"/>
      <c r="AB7" s="595"/>
      <c r="AC7" s="582"/>
      <c r="AD7" s="582"/>
      <c r="AE7" s="582"/>
      <c r="AF7" s="595"/>
      <c r="AG7" s="582"/>
      <c r="AH7" s="582"/>
      <c r="AI7" s="582"/>
      <c r="AJ7" s="595"/>
      <c r="AK7" s="692"/>
      <c r="AL7" s="692"/>
      <c r="AM7" s="717"/>
      <c r="AN7" s="691"/>
      <c r="AO7" s="691"/>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Turkije</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22</v>
      </c>
      <c r="R8" s="717">
        <f t="shared" si="3"/>
        <v>0</v>
      </c>
      <c r="S8" s="582"/>
      <c r="T8" s="582"/>
      <c r="U8" s="595"/>
      <c r="V8" s="582"/>
      <c r="W8" s="582"/>
      <c r="X8" s="595"/>
      <c r="Y8" s="582"/>
      <c r="Z8" s="582"/>
      <c r="AA8" s="582"/>
      <c r="AB8" s="595"/>
      <c r="AC8" s="582"/>
      <c r="AD8" s="582"/>
      <c r="AE8" s="582"/>
      <c r="AF8" s="595"/>
      <c r="AG8" s="582"/>
      <c r="AH8" s="582"/>
      <c r="AI8" s="582"/>
      <c r="AJ8" s="595"/>
      <c r="AK8" s="692"/>
      <c r="AL8" s="692"/>
      <c r="AM8" s="717"/>
      <c r="AN8" s="691"/>
      <c r="AO8" s="691"/>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USA</v>
      </c>
      <c r="BF13" s="605" t="str">
        <v>Paraguay</v>
      </c>
      <c r="BG13" s="605" t="str">
        <v>Australië</v>
      </c>
      <c r="BH13" s="606" t="str">
        <v>Turkije</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USA</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USA</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Paraguay</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Paraguay</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Australië</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Australië</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Turkije</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Turkije</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USA</v>
      </c>
      <c r="I21" s="633" t="str">
        <v>Paraguay</v>
      </c>
      <c r="J21" s="633" t="str">
        <v>Australië</v>
      </c>
      <c r="K21" s="634" t="str">
        <v>Turkije</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USA</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16</v>
      </c>
      <c r="O22" s="643" t="s">
        <v>26</v>
      </c>
      <c r="P22" s="678" t="str">
        <f>INDEX('World Cup'!$B$13:$AJ$38,1,1+(CODE($B$1)-65)*3)</f>
        <v>USA</v>
      </c>
      <c r="Q22" s="679" t="str">
        <f>INDEX('World Cup'!$B$13:$AJ$38,1,2+(CODE($B$1)-65)*3)</f>
        <v>Paraguay</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USAParaguay</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Paraguay</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40</v>
      </c>
      <c r="O23" s="655" t="s">
        <v>27</v>
      </c>
      <c r="P23" s="681" t="str">
        <f>INDEX('World Cup'!$B$13:$AJ$38,6,1+(CODE($B$1)-65)*3)</f>
        <v>Australië</v>
      </c>
      <c r="Q23" s="682" t="str">
        <f>INDEX('World Cup'!$B$13:$AJ$38,6,2+(CODE($B$1)-65)*3)</f>
        <v>Turkije</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AustraliëTurkije</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Australië</v>
      </c>
      <c r="E24" s="700">
        <f t="shared" si="36"/>
        <v>0</v>
      </c>
      <c r="F24" s="582">
        <f t="shared" si="37"/>
        <v>0</v>
      </c>
      <c r="G24" s="707">
        <f t="shared" si="38"/>
        <v>0</v>
      </c>
      <c r="H24" s="639" t="str">
        <v/>
      </c>
      <c r="I24" s="582" t="str">
        <v/>
      </c>
      <c r="J24" s="640" t="str">
        <v/>
      </c>
      <c r="K24" s="703" t="str">
        <v/>
      </c>
      <c r="L24" s="691" t="b">
        <f t="shared" si="39"/>
        <v>0</v>
      </c>
      <c r="M24" s="691" t="b">
        <v>0</v>
      </c>
      <c r="N24" s="582">
        <f t="shared" si="40"/>
        <v>27</v>
      </c>
      <c r="O24" s="655" t="s">
        <v>28</v>
      </c>
      <c r="P24" s="681" t="str">
        <f>INDEX('World Cup'!$B$13:$AJ$38,11,1+(CODE($B$1)-65)*3)</f>
        <v>USA</v>
      </c>
      <c r="Q24" s="682" t="str">
        <f>INDEX('World Cup'!$B$13:$AJ$38,11,2+(CODE($B$1)-65)*3)</f>
        <v>Australië</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USAAustralië</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Turkije</v>
      </c>
      <c r="E25" s="708">
        <f t="shared" si="36"/>
        <v>0</v>
      </c>
      <c r="F25" s="642">
        <f t="shared" si="37"/>
        <v>0</v>
      </c>
      <c r="G25" s="709">
        <f t="shared" si="38"/>
        <v>0</v>
      </c>
      <c r="H25" s="641" t="str">
        <v/>
      </c>
      <c r="I25" s="642" t="str">
        <v/>
      </c>
      <c r="J25" s="642" t="str">
        <v/>
      </c>
      <c r="K25" s="704" t="str">
        <v/>
      </c>
      <c r="L25" s="691" t="b">
        <f t="shared" si="39"/>
        <v>0</v>
      </c>
      <c r="M25" s="691" t="b">
        <v>0</v>
      </c>
      <c r="N25" s="582">
        <f t="shared" si="40"/>
        <v>22</v>
      </c>
      <c r="O25" s="655" t="s">
        <v>29</v>
      </c>
      <c r="P25" s="681" t="str">
        <f>INDEX('World Cup'!$B$13:$AJ$38,16,1+(CODE($B$1)-65)*3)</f>
        <v>Turkije</v>
      </c>
      <c r="Q25" s="682" t="str">
        <f>INDEX('World Cup'!$B$13:$AJ$38,16,2+(CODE($B$1)-65)*3)</f>
        <v>Paraguay</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TurkijeParaguay</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Turkije</v>
      </c>
      <c r="Q26" s="682" t="str">
        <f>INDEX('World Cup'!$B$13:$AJ$38,21,2+(CODE($B$1)-65)*3)</f>
        <v>USA</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TurkijeUSA</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Paraguay</v>
      </c>
      <c r="Q27" s="685" t="str">
        <f>INDEX('World Cup'!$B$13:$AJ$38,26,2+(CODE($B$1)-65)*3)</f>
        <v>Australië</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ParaguayAustralië</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ParaguayUSA</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TurkijeAustralië</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AustraliëUSA</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ParaguayTurkije</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USATurkije</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AustraliëParaguay</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22</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Duitsland</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10</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Curacao</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82</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Ivoorkust</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34</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Ecuador</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23</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Duitsland</v>
      </c>
      <c r="BF13" s="605" t="str">
        <v>Curacao</v>
      </c>
      <c r="BG13" s="605" t="str">
        <v>Ivoorkust</v>
      </c>
      <c r="BH13" s="606" t="str">
        <v>Ecuador</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Duitsland</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Duitsland</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Curacao</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Curacao</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Ivoorkust</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Ivoorkust</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Ecuador</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Ecuador</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Duitsland</v>
      </c>
      <c r="I21" s="633" t="str">
        <v>Curacao</v>
      </c>
      <c r="J21" s="633" t="str">
        <v>Ivoorkust</v>
      </c>
      <c r="K21" s="634" t="str">
        <v>Ecuador</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Duitsland</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10</v>
      </c>
      <c r="O22" s="643" t="s">
        <v>26</v>
      </c>
      <c r="P22" s="678" t="str">
        <f>INDEX('World Cup'!$B$13:$AJ$38,1,1+(CODE($B$1)-65)*3)</f>
        <v>Duitsland</v>
      </c>
      <c r="Q22" s="679" t="str">
        <f>INDEX('World Cup'!$B$13:$AJ$38,1,2+(CODE($B$1)-65)*3)</f>
        <v>Curacao</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DuitslandCuracao</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Curacao</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82</v>
      </c>
      <c r="O23" s="655" t="s">
        <v>27</v>
      </c>
      <c r="P23" s="681" t="str">
        <f>INDEX('World Cup'!$B$13:$AJ$38,6,1+(CODE($B$1)-65)*3)</f>
        <v>Ivoorkust</v>
      </c>
      <c r="Q23" s="682" t="str">
        <f>INDEX('World Cup'!$B$13:$AJ$38,6,2+(CODE($B$1)-65)*3)</f>
        <v>Ecuador</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IvoorkustEcuador</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Ivoorkust</v>
      </c>
      <c r="E24" s="700">
        <f t="shared" si="36"/>
        <v>0</v>
      </c>
      <c r="F24" s="582">
        <f t="shared" si="37"/>
        <v>0</v>
      </c>
      <c r="G24" s="707">
        <f t="shared" si="38"/>
        <v>0</v>
      </c>
      <c r="H24" s="639" t="str">
        <v/>
      </c>
      <c r="I24" s="582" t="str">
        <v/>
      </c>
      <c r="J24" s="640" t="str">
        <v/>
      </c>
      <c r="K24" s="703" t="str">
        <v/>
      </c>
      <c r="L24" s="691" t="b">
        <f t="shared" si="39"/>
        <v>0</v>
      </c>
      <c r="M24" s="691" t="b">
        <v>0</v>
      </c>
      <c r="N24" s="582">
        <f t="shared" si="40"/>
        <v>34</v>
      </c>
      <c r="O24" s="655" t="s">
        <v>28</v>
      </c>
      <c r="P24" s="681" t="str">
        <f>INDEX('World Cup'!$B$13:$AJ$38,11,1+(CODE($B$1)-65)*3)</f>
        <v>Duitsland</v>
      </c>
      <c r="Q24" s="682" t="str">
        <f>INDEX('World Cup'!$B$13:$AJ$38,11,2+(CODE($B$1)-65)*3)</f>
        <v>Ivoorkust</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DuitslandIvoorkust</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Ecuador</v>
      </c>
      <c r="E25" s="708">
        <f t="shared" si="36"/>
        <v>0</v>
      </c>
      <c r="F25" s="642">
        <f t="shared" si="37"/>
        <v>0</v>
      </c>
      <c r="G25" s="709">
        <f t="shared" si="38"/>
        <v>0</v>
      </c>
      <c r="H25" s="641" t="str">
        <v/>
      </c>
      <c r="I25" s="642" t="str">
        <v/>
      </c>
      <c r="J25" s="642" t="str">
        <v/>
      </c>
      <c r="K25" s="704" t="str">
        <v/>
      </c>
      <c r="L25" s="691" t="b">
        <f t="shared" si="39"/>
        <v>0</v>
      </c>
      <c r="M25" s="691" t="b">
        <v>0</v>
      </c>
      <c r="N25" s="582">
        <f t="shared" si="40"/>
        <v>23</v>
      </c>
      <c r="O25" s="655" t="s">
        <v>29</v>
      </c>
      <c r="P25" s="681" t="str">
        <f>INDEX('World Cup'!$B$13:$AJ$38,16,1+(CODE($B$1)-65)*3)</f>
        <v>Ecuador</v>
      </c>
      <c r="Q25" s="682" t="str">
        <f>INDEX('World Cup'!$B$13:$AJ$38,16,2+(CODE($B$1)-65)*3)</f>
        <v>Curacao</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EcuadorCuracao</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Curacao</v>
      </c>
      <c r="Q26" s="682" t="str">
        <f>INDEX('World Cup'!$B$13:$AJ$38,21,2+(CODE($B$1)-65)*3)</f>
        <v>Ivoorkust</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CuracaoIvoorkust</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Ecuador</v>
      </c>
      <c r="Q27" s="685" t="str">
        <f>INDEX('World Cup'!$B$13:$AJ$38,26,2+(CODE($B$1)-65)*3)</f>
        <v>Duitsland</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EcuadorDuitsland</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CuracaoDuitsland</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EcuadorIvoorkust</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IvoorkustDuitsland</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CuracaoEcuador</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IvoorkustCuracao</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DuitslandEcuador</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23</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Nederland</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7</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Japan</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18</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Zweden</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38</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Tunesië</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44</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Nederland</v>
      </c>
      <c r="BF13" s="605" t="str">
        <v>Japan</v>
      </c>
      <c r="BG13" s="605" t="str">
        <v>Zweden</v>
      </c>
      <c r="BH13" s="606" t="str">
        <v>Tunesië</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Nederland</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Nederland</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Japan</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Japan</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Zweden</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Zweden</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Tunesië</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Tunesië</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Nederland</v>
      </c>
      <c r="I21" s="633" t="str">
        <v>Japan</v>
      </c>
      <c r="J21" s="633" t="str">
        <v>Zweden</v>
      </c>
      <c r="K21" s="634" t="str">
        <v>Tunesië</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Nederland</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7</v>
      </c>
      <c r="O22" s="643" t="s">
        <v>26</v>
      </c>
      <c r="P22" s="678" t="str">
        <f>INDEX('World Cup'!$B$13:$AJ$38,1,1+(CODE($B$1)-65)*3)</f>
        <v>Nederland</v>
      </c>
      <c r="Q22" s="679" t="str">
        <f>INDEX('World Cup'!$B$13:$AJ$38,1,2+(CODE($B$1)-65)*3)</f>
        <v>Japan</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NederlandJapan</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Japan</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18</v>
      </c>
      <c r="O23" s="655" t="s">
        <v>27</v>
      </c>
      <c r="P23" s="681" t="str">
        <f>INDEX('World Cup'!$B$13:$AJ$38,6,1+(CODE($B$1)-65)*3)</f>
        <v>Zweden</v>
      </c>
      <c r="Q23" s="682" t="str">
        <f>INDEX('World Cup'!$B$13:$AJ$38,6,2+(CODE($B$1)-65)*3)</f>
        <v>Tunesië</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ZwedenTunesië</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Zweden</v>
      </c>
      <c r="E24" s="700">
        <f t="shared" si="36"/>
        <v>0</v>
      </c>
      <c r="F24" s="582">
        <f t="shared" si="37"/>
        <v>0</v>
      </c>
      <c r="G24" s="707">
        <f t="shared" si="38"/>
        <v>0</v>
      </c>
      <c r="H24" s="639" t="str">
        <v/>
      </c>
      <c r="I24" s="582" t="str">
        <v/>
      </c>
      <c r="J24" s="640" t="str">
        <v/>
      </c>
      <c r="K24" s="703" t="str">
        <v/>
      </c>
      <c r="L24" s="691" t="b">
        <f t="shared" si="39"/>
        <v>0</v>
      </c>
      <c r="M24" s="691" t="b">
        <v>0</v>
      </c>
      <c r="N24" s="582">
        <f t="shared" si="40"/>
        <v>38</v>
      </c>
      <c r="O24" s="655" t="s">
        <v>28</v>
      </c>
      <c r="P24" s="681" t="str">
        <f>INDEX('World Cup'!$B$13:$AJ$38,11,1+(CODE($B$1)-65)*3)</f>
        <v>Nederland</v>
      </c>
      <c r="Q24" s="682" t="str">
        <f>INDEX('World Cup'!$B$13:$AJ$38,11,2+(CODE($B$1)-65)*3)</f>
        <v>Zweden</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NederlandZweden</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Tunesië</v>
      </c>
      <c r="E25" s="708">
        <f t="shared" si="36"/>
        <v>0</v>
      </c>
      <c r="F25" s="642">
        <f t="shared" si="37"/>
        <v>0</v>
      </c>
      <c r="G25" s="709">
        <f t="shared" si="38"/>
        <v>0</v>
      </c>
      <c r="H25" s="641" t="str">
        <v/>
      </c>
      <c r="I25" s="642" t="str">
        <v/>
      </c>
      <c r="J25" s="642" t="str">
        <v/>
      </c>
      <c r="K25" s="704" t="str">
        <v/>
      </c>
      <c r="L25" s="691" t="b">
        <f t="shared" si="39"/>
        <v>0</v>
      </c>
      <c r="M25" s="691" t="b">
        <v>0</v>
      </c>
      <c r="N25" s="582">
        <f t="shared" si="40"/>
        <v>44</v>
      </c>
      <c r="O25" s="655" t="s">
        <v>29</v>
      </c>
      <c r="P25" s="681" t="str">
        <f>INDEX('World Cup'!$B$13:$AJ$38,16,1+(CODE($B$1)-65)*3)</f>
        <v>Tunesië</v>
      </c>
      <c r="Q25" s="682" t="str">
        <f>INDEX('World Cup'!$B$13:$AJ$38,16,2+(CODE($B$1)-65)*3)</f>
        <v>Japan</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TunesiëJapan</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Japan</v>
      </c>
      <c r="Q26" s="682" t="str">
        <f>INDEX('World Cup'!$B$13:$AJ$38,21,2+(CODE($B$1)-65)*3)</f>
        <v>Zweden</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JapanZweden</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Tunesië</v>
      </c>
      <c r="Q27" s="685" t="str">
        <f>INDEX('World Cup'!$B$13:$AJ$38,26,2+(CODE($B$1)-65)*3)</f>
        <v>Nederland</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TunesiëNederland</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JapanNederland</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TunesiëZweden</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ZwedenNederland</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JapanTunesië</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ZwedenJapan</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NederlandTunesië</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272</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België</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9</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Egypte</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29</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IR Iran</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21</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Nieuw-Zeeland</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85</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België</v>
      </c>
      <c r="BF13" s="605" t="str">
        <v>Egypte</v>
      </c>
      <c r="BG13" s="605" t="str">
        <v>IR Iran</v>
      </c>
      <c r="BH13" s="606" t="str">
        <v>Nieuw-Zeeland</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België</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België</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Egypte</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Egypte</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IR Iran</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IR Iran</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Nieuw-Zeeland</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Nieuw-Zeeland</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België</v>
      </c>
      <c r="I21" s="633" t="str">
        <v>Egypte</v>
      </c>
      <c r="J21" s="633" t="str">
        <v>IR Iran</v>
      </c>
      <c r="K21" s="634" t="str">
        <v>Nieuw-Zeeland</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België</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9</v>
      </c>
      <c r="O22" s="643" t="s">
        <v>26</v>
      </c>
      <c r="P22" s="678" t="str">
        <f>INDEX('World Cup'!$B$13:$AJ$38,1,1+(CODE($B$1)-65)*3)</f>
        <v>België</v>
      </c>
      <c r="Q22" s="679" t="str">
        <f>INDEX('World Cup'!$B$13:$AJ$38,1,2+(CODE($B$1)-65)*3)</f>
        <v>Egypte</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BelgiëEgypte</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Egypte</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29</v>
      </c>
      <c r="O23" s="655" t="s">
        <v>27</v>
      </c>
      <c r="P23" s="681" t="str">
        <f>INDEX('World Cup'!$B$13:$AJ$38,6,1+(CODE($B$1)-65)*3)</f>
        <v>IR Iran</v>
      </c>
      <c r="Q23" s="682" t="str">
        <f>INDEX('World Cup'!$B$13:$AJ$38,6,2+(CODE($B$1)-65)*3)</f>
        <v>Nieuw-Zeeland</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IR IranNieuw-Zeeland</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IR Iran</v>
      </c>
      <c r="E24" s="700">
        <f t="shared" si="36"/>
        <v>0</v>
      </c>
      <c r="F24" s="582">
        <f t="shared" si="37"/>
        <v>0</v>
      </c>
      <c r="G24" s="707">
        <f t="shared" si="38"/>
        <v>0</v>
      </c>
      <c r="H24" s="639" t="str">
        <v/>
      </c>
      <c r="I24" s="582" t="str">
        <v/>
      </c>
      <c r="J24" s="640" t="str">
        <v/>
      </c>
      <c r="K24" s="703" t="str">
        <v/>
      </c>
      <c r="L24" s="691" t="b">
        <f t="shared" si="39"/>
        <v>0</v>
      </c>
      <c r="M24" s="691" t="b">
        <v>0</v>
      </c>
      <c r="N24" s="582">
        <f t="shared" si="40"/>
        <v>21</v>
      </c>
      <c r="O24" s="655" t="s">
        <v>28</v>
      </c>
      <c r="P24" s="681" t="str">
        <f>INDEX('World Cup'!$B$13:$AJ$38,11,1+(CODE($B$1)-65)*3)</f>
        <v>België</v>
      </c>
      <c r="Q24" s="682" t="str">
        <f>INDEX('World Cup'!$B$13:$AJ$38,11,2+(CODE($B$1)-65)*3)</f>
        <v>IR Iran</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BelgiëIR Iran</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Nieuw-Zeeland</v>
      </c>
      <c r="E25" s="708">
        <f t="shared" si="36"/>
        <v>0</v>
      </c>
      <c r="F25" s="642">
        <f t="shared" si="37"/>
        <v>0</v>
      </c>
      <c r="G25" s="709">
        <f t="shared" si="38"/>
        <v>0</v>
      </c>
      <c r="H25" s="641" t="str">
        <v/>
      </c>
      <c r="I25" s="642" t="str">
        <v/>
      </c>
      <c r="J25" s="642" t="str">
        <v/>
      </c>
      <c r="K25" s="704" t="str">
        <v/>
      </c>
      <c r="L25" s="691" t="b">
        <f t="shared" si="39"/>
        <v>0</v>
      </c>
      <c r="M25" s="691" t="b">
        <v>0</v>
      </c>
      <c r="N25" s="582">
        <f t="shared" si="40"/>
        <v>85</v>
      </c>
      <c r="O25" s="655" t="s">
        <v>29</v>
      </c>
      <c r="P25" s="681" t="str">
        <f>INDEX('World Cup'!$B$13:$AJ$38,16,1+(CODE($B$1)-65)*3)</f>
        <v>Nieuw-Zeeland</v>
      </c>
      <c r="Q25" s="682" t="str">
        <f>INDEX('World Cup'!$B$13:$AJ$38,16,2+(CODE($B$1)-65)*3)</f>
        <v>Egypte</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Nieuw-ZeelandEgypte</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Egypte</v>
      </c>
      <c r="Q26" s="682" t="str">
        <f>INDEX('World Cup'!$B$13:$AJ$38,21,2+(CODE($B$1)-65)*3)</f>
        <v>IR Iran</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EgypteIR Iran</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Nieuw-Zeeland</v>
      </c>
      <c r="Q27" s="685" t="str">
        <f>INDEX('World Cup'!$B$13:$AJ$38,26,2+(CODE($B$1)-65)*3)</f>
        <v>België</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Nieuw-ZeelandBelgië</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EgypteBelgië</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Nieuw-ZeelandIR Iran</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IR IranBelgië</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EgypteNieuw-Zeeland</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IR IranEgypte</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BelgiëNieuw-Zeeland</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31</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Spanje</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2</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Kaapverdië</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69</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Saoedi-Arabië</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61</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Uruguay</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17</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Spanje</v>
      </c>
      <c r="BF13" s="605" t="str">
        <v>Kaapverdië</v>
      </c>
      <c r="BG13" s="605" t="str">
        <v>Saoedi-Arabië</v>
      </c>
      <c r="BH13" s="606" t="str">
        <v>Uruguay</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Spanje</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Spanje</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Kaapverdië</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Kaapverdië</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Saoedi-Arabië</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Saoedi-Arabië</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Uruguay</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Uruguay</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Spanje</v>
      </c>
      <c r="I21" s="633" t="str">
        <v>Kaapverdië</v>
      </c>
      <c r="J21" s="633" t="str">
        <v>Saoedi-Arabië</v>
      </c>
      <c r="K21" s="634" t="str">
        <v>Uruguay</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Spanje</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2</v>
      </c>
      <c r="O22" s="643" t="s">
        <v>26</v>
      </c>
      <c r="P22" s="678" t="str">
        <f>INDEX('World Cup'!$B$13:$AJ$38,1,1+(CODE($B$1)-65)*3)</f>
        <v>Spanje</v>
      </c>
      <c r="Q22" s="679" t="str">
        <f>INDEX('World Cup'!$B$13:$AJ$38,1,2+(CODE($B$1)-65)*3)</f>
        <v>Kaapverdië</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SpanjeKaapverdië</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Kaapverdië</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69</v>
      </c>
      <c r="O23" s="655" t="s">
        <v>27</v>
      </c>
      <c r="P23" s="681" t="str">
        <f>INDEX('World Cup'!$B$13:$AJ$38,6,1+(CODE($B$1)-65)*3)</f>
        <v>Saoedi-Arabië</v>
      </c>
      <c r="Q23" s="682" t="str">
        <f>INDEX('World Cup'!$B$13:$AJ$38,6,2+(CODE($B$1)-65)*3)</f>
        <v>Uruguay</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Saoedi-ArabiëUruguay</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Saoedi-Arabië</v>
      </c>
      <c r="E24" s="700">
        <f t="shared" si="36"/>
        <v>0</v>
      </c>
      <c r="F24" s="582">
        <f t="shared" si="37"/>
        <v>0</v>
      </c>
      <c r="G24" s="707">
        <f t="shared" si="38"/>
        <v>0</v>
      </c>
      <c r="H24" s="639" t="str">
        <v/>
      </c>
      <c r="I24" s="582" t="str">
        <v/>
      </c>
      <c r="J24" s="640" t="str">
        <v/>
      </c>
      <c r="K24" s="703" t="str">
        <v/>
      </c>
      <c r="L24" s="691" t="b">
        <f t="shared" si="39"/>
        <v>0</v>
      </c>
      <c r="M24" s="691" t="b">
        <v>0</v>
      </c>
      <c r="N24" s="582">
        <f t="shared" si="40"/>
        <v>61</v>
      </c>
      <c r="O24" s="655" t="s">
        <v>28</v>
      </c>
      <c r="P24" s="681" t="str">
        <f>INDEX('World Cup'!$B$13:$AJ$38,11,1+(CODE($B$1)-65)*3)</f>
        <v>Spanje</v>
      </c>
      <c r="Q24" s="682" t="str">
        <f>INDEX('World Cup'!$B$13:$AJ$38,11,2+(CODE($B$1)-65)*3)</f>
        <v>Saoedi-Arabië</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SpanjeSaoedi-Arabië</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Uruguay</v>
      </c>
      <c r="E25" s="708">
        <f t="shared" si="36"/>
        <v>0</v>
      </c>
      <c r="F25" s="642">
        <f t="shared" si="37"/>
        <v>0</v>
      </c>
      <c r="G25" s="709">
        <f t="shared" si="38"/>
        <v>0</v>
      </c>
      <c r="H25" s="641" t="str">
        <v/>
      </c>
      <c r="I25" s="642" t="str">
        <v/>
      </c>
      <c r="J25" s="642" t="str">
        <v/>
      </c>
      <c r="K25" s="704" t="str">
        <v/>
      </c>
      <c r="L25" s="691" t="b">
        <f t="shared" si="39"/>
        <v>0</v>
      </c>
      <c r="M25" s="691" t="b">
        <v>0</v>
      </c>
      <c r="N25" s="582">
        <f t="shared" si="40"/>
        <v>17</v>
      </c>
      <c r="O25" s="655" t="s">
        <v>29</v>
      </c>
      <c r="P25" s="681" t="str">
        <f>INDEX('World Cup'!$B$13:$AJ$38,16,1+(CODE($B$1)-65)*3)</f>
        <v>Uruguay</v>
      </c>
      <c r="Q25" s="682" t="str">
        <f>INDEX('World Cup'!$B$13:$AJ$38,16,2+(CODE($B$1)-65)*3)</f>
        <v>Kaapverdië</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UruguayKaapverdië</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Kaapverdië</v>
      </c>
      <c r="Q26" s="682" t="str">
        <f>INDEX('World Cup'!$B$13:$AJ$38,21,2+(CODE($B$1)-65)*3)</f>
        <v>Saoedi-Arabië</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KaapverdiëSaoedi-Arabië</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Uruguay</v>
      </c>
      <c r="Q27" s="685" t="str">
        <f>INDEX('World Cup'!$B$13:$AJ$38,26,2+(CODE($B$1)-65)*3)</f>
        <v>Spanje</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UruguaySpanje</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KaapverdiëSpanje</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UruguaySaoedi-Arabië</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Saoedi-ArabiëSpanje</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KaapverdiëUruguay</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Saoedi-ArabiëKaapverdië</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SpanjeUruguay</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32</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Frankrijk</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1</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Senegal</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14</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Irak</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57</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Noorwegen</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31</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Frankrijk</v>
      </c>
      <c r="BF13" s="605" t="str">
        <v>Senegal</v>
      </c>
      <c r="BG13" s="605" t="str">
        <v>Irak</v>
      </c>
      <c r="BH13" s="606" t="str">
        <v>Noorwegen</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Frankrijk</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Frankrijk</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Senegal</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Senegal</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Irak</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Irak</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Noorwegen</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Noorwegen</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Frankrijk</v>
      </c>
      <c r="I21" s="633" t="str">
        <v>Senegal</v>
      </c>
      <c r="J21" s="633" t="str">
        <v>Irak</v>
      </c>
      <c r="K21" s="634" t="str">
        <v>Noorwegen</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Frankrijk</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1</v>
      </c>
      <c r="O22" s="643" t="s">
        <v>26</v>
      </c>
      <c r="P22" s="678" t="str">
        <f>INDEX('World Cup'!$B$13:$AJ$38,1,1+(CODE($B$1)-65)*3)</f>
        <v>Frankrijk</v>
      </c>
      <c r="Q22" s="679" t="str">
        <f>INDEX('World Cup'!$B$13:$AJ$38,1,2+(CODE($B$1)-65)*3)</f>
        <v>Senegal</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FrankrijkSenegal</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Senegal</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14</v>
      </c>
      <c r="O23" s="655" t="s">
        <v>27</v>
      </c>
      <c r="P23" s="681" t="str">
        <f>INDEX('World Cup'!$B$13:$AJ$38,6,1+(CODE($B$1)-65)*3)</f>
        <v>Irak</v>
      </c>
      <c r="Q23" s="682" t="str">
        <f>INDEX('World Cup'!$B$13:$AJ$38,6,2+(CODE($B$1)-65)*3)</f>
        <v>Noorwegen</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IrakNoorwegen</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Irak</v>
      </c>
      <c r="E24" s="700">
        <f t="shared" si="36"/>
        <v>0</v>
      </c>
      <c r="F24" s="582">
        <f t="shared" si="37"/>
        <v>0</v>
      </c>
      <c r="G24" s="707">
        <f t="shared" si="38"/>
        <v>0</v>
      </c>
      <c r="H24" s="639" t="str">
        <v/>
      </c>
      <c r="I24" s="582" t="str">
        <v/>
      </c>
      <c r="J24" s="640" t="str">
        <v/>
      </c>
      <c r="K24" s="703" t="str">
        <v/>
      </c>
      <c r="L24" s="691" t="b">
        <f t="shared" si="39"/>
        <v>0</v>
      </c>
      <c r="M24" s="691" t="b">
        <v>0</v>
      </c>
      <c r="N24" s="582">
        <f t="shared" si="40"/>
        <v>57</v>
      </c>
      <c r="O24" s="655" t="s">
        <v>28</v>
      </c>
      <c r="P24" s="681" t="str">
        <f>INDEX('World Cup'!$B$13:$AJ$38,11,1+(CODE($B$1)-65)*3)</f>
        <v>Frankrijk</v>
      </c>
      <c r="Q24" s="682" t="str">
        <f>INDEX('World Cup'!$B$13:$AJ$38,11,2+(CODE($B$1)-65)*3)</f>
        <v>Irak</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FrankrijkIrak</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Noorwegen</v>
      </c>
      <c r="E25" s="708">
        <f t="shared" si="36"/>
        <v>0</v>
      </c>
      <c r="F25" s="642">
        <f t="shared" si="37"/>
        <v>0</v>
      </c>
      <c r="G25" s="709">
        <f t="shared" si="38"/>
        <v>0</v>
      </c>
      <c r="H25" s="641" t="str">
        <v/>
      </c>
      <c r="I25" s="642" t="str">
        <v/>
      </c>
      <c r="J25" s="642" t="str">
        <v/>
      </c>
      <c r="K25" s="704" t="str">
        <v/>
      </c>
      <c r="L25" s="691" t="b">
        <f t="shared" si="39"/>
        <v>0</v>
      </c>
      <c r="M25" s="691" t="b">
        <v>0</v>
      </c>
      <c r="N25" s="582">
        <f t="shared" si="40"/>
        <v>31</v>
      </c>
      <c r="O25" s="655" t="s">
        <v>29</v>
      </c>
      <c r="P25" s="681" t="str">
        <f>INDEX('World Cup'!$B$13:$AJ$38,16,1+(CODE($B$1)-65)*3)</f>
        <v>Noorwegen</v>
      </c>
      <c r="Q25" s="682" t="str">
        <f>INDEX('World Cup'!$B$13:$AJ$38,16,2+(CODE($B$1)-65)*3)</f>
        <v>Senegal</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NoorwegenSenegal</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Noorwegen</v>
      </c>
      <c r="Q26" s="682" t="str">
        <f>INDEX('World Cup'!$B$13:$AJ$38,21,2+(CODE($B$1)-65)*3)</f>
        <v>Frankrijk</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NoorwegenFrankrijk</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Senegal</v>
      </c>
      <c r="Q27" s="685" t="str">
        <f>INDEX('World Cup'!$B$13:$AJ$38,26,2+(CODE($B$1)-65)*3)</f>
        <v>Irak</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SenegalIrak</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SenegalFrankrijk</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NoorwegenIrak</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IrakFrankrijk</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SenegalNoorwegen</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FrankrijkNoorwegen</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IrakSenegal</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841</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Argentinië</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3</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Algerije</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28</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Oostenrijk</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24</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Jordanië</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63</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Argentinië</v>
      </c>
      <c r="BF13" s="605" t="str">
        <v>Algerije</v>
      </c>
      <c r="BG13" s="605" t="str">
        <v>Oostenrijk</v>
      </c>
      <c r="BH13" s="606" t="str">
        <v>Jordanië</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Argentinië</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Argentinië</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Algerije</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Algerije</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Oostenrijk</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Oostenrijk</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Jordanië</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Jordanië</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Argentinië</v>
      </c>
      <c r="I21" s="633" t="str">
        <v>Algerije</v>
      </c>
      <c r="J21" s="633" t="str">
        <v>Oostenrijk</v>
      </c>
      <c r="K21" s="634" t="str">
        <v>Jordanië</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Argentinië</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3</v>
      </c>
      <c r="O22" s="643" t="s">
        <v>26</v>
      </c>
      <c r="P22" s="678" t="str">
        <f>INDEX('World Cup'!$B$13:$AJ$38,1,1+(CODE($B$1)-65)*3)</f>
        <v>Argentinië</v>
      </c>
      <c r="Q22" s="679" t="str">
        <f>INDEX('World Cup'!$B$13:$AJ$38,1,2+(CODE($B$1)-65)*3)</f>
        <v>Algerije</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ArgentiniëAlgerije</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Algerije</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28</v>
      </c>
      <c r="O23" s="655" t="s">
        <v>27</v>
      </c>
      <c r="P23" s="681" t="str">
        <f>INDEX('World Cup'!$B$13:$AJ$38,6,1+(CODE($B$1)-65)*3)</f>
        <v>Oostenrijk</v>
      </c>
      <c r="Q23" s="682" t="str">
        <f>INDEX('World Cup'!$B$13:$AJ$38,6,2+(CODE($B$1)-65)*3)</f>
        <v>Jordanië</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OostenrijkJordanië</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Oostenrijk</v>
      </c>
      <c r="E24" s="700">
        <f t="shared" si="36"/>
        <v>0</v>
      </c>
      <c r="F24" s="582">
        <f t="shared" si="37"/>
        <v>0</v>
      </c>
      <c r="G24" s="707">
        <f t="shared" si="38"/>
        <v>0</v>
      </c>
      <c r="H24" s="639" t="str">
        <v/>
      </c>
      <c r="I24" s="582" t="str">
        <v/>
      </c>
      <c r="J24" s="640" t="str">
        <v/>
      </c>
      <c r="K24" s="703" t="str">
        <v/>
      </c>
      <c r="L24" s="691" t="b">
        <f t="shared" si="39"/>
        <v>0</v>
      </c>
      <c r="M24" s="691" t="b">
        <v>0</v>
      </c>
      <c r="N24" s="582">
        <f t="shared" si="40"/>
        <v>24</v>
      </c>
      <c r="O24" s="655" t="s">
        <v>28</v>
      </c>
      <c r="P24" s="681" t="str">
        <f>INDEX('World Cup'!$B$13:$AJ$38,11,1+(CODE($B$1)-65)*3)</f>
        <v>Argentinië</v>
      </c>
      <c r="Q24" s="682" t="str">
        <f>INDEX('World Cup'!$B$13:$AJ$38,11,2+(CODE($B$1)-65)*3)</f>
        <v>Oostenrijk</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ArgentiniëOostenrijk</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Jordanië</v>
      </c>
      <c r="E25" s="708">
        <f t="shared" si="36"/>
        <v>0</v>
      </c>
      <c r="F25" s="642">
        <f t="shared" si="37"/>
        <v>0</v>
      </c>
      <c r="G25" s="709">
        <f t="shared" si="38"/>
        <v>0</v>
      </c>
      <c r="H25" s="641" t="str">
        <v/>
      </c>
      <c r="I25" s="642" t="str">
        <v/>
      </c>
      <c r="J25" s="642" t="str">
        <v/>
      </c>
      <c r="K25" s="704" t="str">
        <v/>
      </c>
      <c r="L25" s="691" t="b">
        <f t="shared" si="39"/>
        <v>0</v>
      </c>
      <c r="M25" s="691" t="b">
        <v>0</v>
      </c>
      <c r="N25" s="582">
        <f t="shared" si="40"/>
        <v>63</v>
      </c>
      <c r="O25" s="655" t="s">
        <v>29</v>
      </c>
      <c r="P25" s="681" t="str">
        <f>INDEX('World Cup'!$B$13:$AJ$38,16,1+(CODE($B$1)-65)*3)</f>
        <v>Jordanië</v>
      </c>
      <c r="Q25" s="682" t="str">
        <f>INDEX('World Cup'!$B$13:$AJ$38,16,2+(CODE($B$1)-65)*3)</f>
        <v>Algerije</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JordaniëAlgerije</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Algerije</v>
      </c>
      <c r="Q26" s="682" t="str">
        <f>INDEX('World Cup'!$B$13:$AJ$38,21,2+(CODE($B$1)-65)*3)</f>
        <v>Oostenrijk</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AlgerijeOostenrijk</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Jordanië</v>
      </c>
      <c r="Q27" s="685" t="str">
        <f>INDEX('World Cup'!$B$13:$AJ$38,26,2+(CODE($B$1)-65)*3)</f>
        <v>Argentinië</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JordaniëArgentinië</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AlgerijeArgentinië</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JordaniëOostenrijk</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OostenrijkArgentinië</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AlgerijeJordanië</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OostenrijkAlgerije</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ArgentiniëJordanië</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33</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Portugal</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5</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DR Congo</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46</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Oezbekistan</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50</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Colombia</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13</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Portugal</v>
      </c>
      <c r="BF13" s="605" t="str">
        <v>DR Congo</v>
      </c>
      <c r="BG13" s="605" t="str">
        <v>Oezbekistan</v>
      </c>
      <c r="BH13" s="606" t="str">
        <v>Colombia</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Portugal</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Portugal</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DR Congo</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DR Congo</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Oezbekistan</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Oezbekistan</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Colombia</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Colombia</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Portugal</v>
      </c>
      <c r="I21" s="633" t="str">
        <v>DR Congo</v>
      </c>
      <c r="J21" s="633" t="str">
        <v>Oezbekistan</v>
      </c>
      <c r="K21" s="634" t="str">
        <v>Colombia</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Portugal</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5</v>
      </c>
      <c r="O22" s="643" t="s">
        <v>26</v>
      </c>
      <c r="P22" s="678" t="str">
        <f>INDEX('World Cup'!$B$13:$AJ$38,1,1+(CODE($B$1)-65)*3)</f>
        <v>Portugal</v>
      </c>
      <c r="Q22" s="679" t="str">
        <f>INDEX('World Cup'!$B$13:$AJ$38,1,2+(CODE($B$1)-65)*3)</f>
        <v>DR Congo</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PortugalDR Congo</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DR Congo</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46</v>
      </c>
      <c r="O23" s="655" t="s">
        <v>27</v>
      </c>
      <c r="P23" s="681" t="str">
        <f>INDEX('World Cup'!$B$13:$AJ$38,6,1+(CODE($B$1)-65)*3)</f>
        <v>Oezbekistan</v>
      </c>
      <c r="Q23" s="682" t="str">
        <f>INDEX('World Cup'!$B$13:$AJ$38,6,2+(CODE($B$1)-65)*3)</f>
        <v>Colombia</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OezbekistanColombia</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Oezbekistan</v>
      </c>
      <c r="E24" s="700">
        <f t="shared" si="36"/>
        <v>0</v>
      </c>
      <c r="F24" s="582">
        <f t="shared" si="37"/>
        <v>0</v>
      </c>
      <c r="G24" s="707">
        <f t="shared" si="38"/>
        <v>0</v>
      </c>
      <c r="H24" s="639" t="str">
        <v/>
      </c>
      <c r="I24" s="582" t="str">
        <v/>
      </c>
      <c r="J24" s="640" t="str">
        <v/>
      </c>
      <c r="K24" s="703" t="str">
        <v/>
      </c>
      <c r="L24" s="691" t="b">
        <f t="shared" si="39"/>
        <v>0</v>
      </c>
      <c r="M24" s="691" t="b">
        <v>0</v>
      </c>
      <c r="N24" s="582">
        <f t="shared" si="40"/>
        <v>50</v>
      </c>
      <c r="O24" s="655" t="s">
        <v>28</v>
      </c>
      <c r="P24" s="681" t="str">
        <f>INDEX('World Cup'!$B$13:$AJ$38,11,1+(CODE($B$1)-65)*3)</f>
        <v>Portugal</v>
      </c>
      <c r="Q24" s="682" t="str">
        <f>INDEX('World Cup'!$B$13:$AJ$38,11,2+(CODE($B$1)-65)*3)</f>
        <v>Oezbekistan</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PortugalOezbekistan</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Colombia</v>
      </c>
      <c r="E25" s="708">
        <f t="shared" si="36"/>
        <v>0</v>
      </c>
      <c r="F25" s="642">
        <f t="shared" si="37"/>
        <v>0</v>
      </c>
      <c r="G25" s="709">
        <f t="shared" si="38"/>
        <v>0</v>
      </c>
      <c r="H25" s="641" t="str">
        <v/>
      </c>
      <c r="I25" s="642" t="str">
        <v/>
      </c>
      <c r="J25" s="642" t="str">
        <v/>
      </c>
      <c r="K25" s="704" t="str">
        <v/>
      </c>
      <c r="L25" s="691" t="b">
        <f t="shared" si="39"/>
        <v>0</v>
      </c>
      <c r="M25" s="691" t="b">
        <v>0</v>
      </c>
      <c r="N25" s="582">
        <f t="shared" si="40"/>
        <v>13</v>
      </c>
      <c r="O25" s="655" t="s">
        <v>29</v>
      </c>
      <c r="P25" s="681" t="str">
        <f>INDEX('World Cup'!$B$13:$AJ$38,16,1+(CODE($B$1)-65)*3)</f>
        <v>Colombia</v>
      </c>
      <c r="Q25" s="682" t="str">
        <f>INDEX('World Cup'!$B$13:$AJ$38,16,2+(CODE($B$1)-65)*3)</f>
        <v>DR Congo</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ColombiaDR Congo</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Colombia</v>
      </c>
      <c r="Q26" s="682" t="str">
        <f>INDEX('World Cup'!$B$13:$AJ$38,21,2+(CODE($B$1)-65)*3)</f>
        <v>Portugal</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ColombiaPortugal</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DR Congo</v>
      </c>
      <c r="Q27" s="685" t="str">
        <f>INDEX('World Cup'!$B$13:$AJ$38,26,2+(CODE($B$1)-65)*3)</f>
        <v>Oezbekistan</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DR CongoOezbekistan</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DR CongoPortugal</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ColombiaOezbekistan</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OezbekistanPortugal</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DR CongoColombia</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PortugalColombia</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OezbekistanDR Congo</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7265625" defaultRowHeight="11.5"/>
  <cols>
    <col min="1" max="1" width="2.7265625" style="675"/>
    <col min="2" max="2" width="6.1796875" style="675" customWidth="1"/>
    <col min="3" max="3" width="4" style="675" customWidth="1"/>
    <col min="4" max="4" width="15.26953125" style="675" customWidth="1"/>
    <col min="5" max="5" width="5.54296875" style="675" customWidth="1"/>
    <col min="6" max="6" width="6.54296875" style="675" customWidth="1"/>
    <col min="7" max="7" width="6" style="675" customWidth="1"/>
    <col min="8" max="8" width="5.1796875" style="675" customWidth="1"/>
    <col min="9" max="9" width="4.7265625" style="675" customWidth="1"/>
    <col min="10" max="10" width="4.81640625" style="675" customWidth="1"/>
    <col min="11" max="11" width="5.54296875" style="675" customWidth="1"/>
    <col min="12" max="12" width="5.26953125" style="675" customWidth="1"/>
    <col min="13" max="14" width="4.81640625" style="675" customWidth="1"/>
    <col min="15" max="15" width="5" style="675" customWidth="1"/>
    <col min="16" max="16" width="7.453125" style="675" customWidth="1"/>
    <col min="17" max="37" width="4.7265625" style="675" customWidth="1"/>
    <col min="38" max="38" width="5.453125" style="675" customWidth="1"/>
    <col min="39" max="40" width="4.7265625" style="675" customWidth="1"/>
    <col min="41" max="41" width="5.7265625" style="675" customWidth="1"/>
    <col min="42" max="42" width="8.81640625" style="675" customWidth="1"/>
    <col min="43" max="46" width="4.7265625" style="675" customWidth="1"/>
    <col min="47" max="48" width="5.7265625" style="675" customWidth="1"/>
    <col min="49" max="49" width="1.54296875" style="675" customWidth="1"/>
    <col min="50" max="51" width="3.7265625" style="675" customWidth="1"/>
    <col min="52" max="52" width="13.54296875" style="675" customWidth="1"/>
    <col min="53" max="54" width="2.7265625" style="675"/>
    <col min="55" max="55" width="2.7265625" style="675" customWidth="1"/>
    <col min="56" max="56" width="1.26953125" style="675" customWidth="1"/>
    <col min="57" max="60" width="4.7265625" style="675" customWidth="1"/>
    <col min="61" max="62" width="5.7265625" style="675" customWidth="1"/>
    <col min="63" max="64" width="3.7265625" style="675" customWidth="1"/>
    <col min="65" max="65" width="1.7265625" style="675" customWidth="1"/>
    <col min="66" max="66" width="14.26953125" style="675" customWidth="1"/>
    <col min="67" max="67" width="2.7265625" style="675" customWidth="1"/>
    <col min="68" max="69" width="2.7265625" style="675"/>
    <col min="70" max="70" width="1.54296875" style="675" customWidth="1"/>
    <col min="71" max="74" width="4.7265625" style="675" customWidth="1"/>
    <col min="75" max="75" width="5.7265625" style="675" customWidth="1"/>
    <col min="76" max="76" width="3.7265625" style="675" customWidth="1"/>
    <col min="77" max="77" width="1.54296875" style="675" customWidth="1"/>
    <col min="78" max="78" width="14.26953125" style="675" customWidth="1"/>
    <col min="79" max="82" width="2.7265625" style="675"/>
    <col min="83" max="86" width="4.7265625" style="675" customWidth="1"/>
    <col min="87" max="16384" width="2.7265625" style="675"/>
  </cols>
  <sheetData>
    <row r="1" spans="2:86" ht="18">
      <c r="B1" s="677" t="s">
        <v>34</v>
      </c>
    </row>
    <row r="2" spans="2:86" s="580" customFormat="1">
      <c r="C2" s="710"/>
      <c r="F2" s="635"/>
      <c r="G2" s="694"/>
    </row>
    <row r="3" spans="2:86" s="580" customFormat="1">
      <c r="B3" s="581"/>
      <c r="C3" s="582"/>
      <c r="E3" s="635"/>
      <c r="F3" s="601"/>
      <c r="G3" s="635"/>
      <c r="H3" s="582"/>
      <c r="I3" s="582"/>
      <c r="J3" s="582"/>
      <c r="K3" s="582"/>
      <c r="L3" s="582"/>
      <c r="M3" s="582"/>
      <c r="N3" s="582"/>
      <c r="O3" s="582"/>
      <c r="P3" s="582"/>
      <c r="R3" s="583"/>
      <c r="S3" s="581"/>
      <c r="T3" s="581"/>
      <c r="U3" s="583"/>
      <c r="V3" s="581"/>
      <c r="W3" s="581"/>
      <c r="X3" s="583"/>
      <c r="Y3" s="584"/>
      <c r="Z3" s="581"/>
      <c r="AA3" s="581"/>
      <c r="AB3" s="583"/>
      <c r="AC3" s="584"/>
      <c r="AD3" s="581"/>
      <c r="AE3" s="581"/>
      <c r="AF3" s="583"/>
      <c r="AG3" s="584"/>
      <c r="AH3" s="581"/>
      <c r="AI3" s="581"/>
      <c r="AJ3" s="583"/>
      <c r="AK3" s="585"/>
      <c r="AL3" s="581"/>
      <c r="AM3" s="583"/>
    </row>
    <row r="4" spans="2:86" s="580" customFormat="1" ht="13.5" customHeight="1">
      <c r="B4" s="581"/>
      <c r="C4" s="582"/>
      <c r="D4" s="582"/>
      <c r="E4" s="635"/>
      <c r="F4" s="601"/>
      <c r="G4" s="635"/>
      <c r="H4" s="586" t="s">
        <v>1107</v>
      </c>
      <c r="I4" s="586" t="s">
        <v>1108</v>
      </c>
      <c r="J4" s="586" t="s">
        <v>190</v>
      </c>
      <c r="K4" s="587" t="s">
        <v>1106</v>
      </c>
      <c r="L4" s="586" t="s">
        <v>1767</v>
      </c>
      <c r="M4" s="587" t="s">
        <v>1768</v>
      </c>
      <c r="N4" s="587" t="s">
        <v>25</v>
      </c>
      <c r="O4" s="588" t="s">
        <v>34</v>
      </c>
      <c r="P4" s="711" t="s">
        <v>30</v>
      </c>
      <c r="Q4" s="587" t="s">
        <v>1792</v>
      </c>
      <c r="R4" s="586"/>
      <c r="S4" s="584"/>
      <c r="T4" s="581"/>
      <c r="U4" s="603"/>
      <c r="V4" s="581"/>
      <c r="W4" s="581"/>
      <c r="X4" s="603"/>
      <c r="Y4" s="584"/>
      <c r="Z4" s="581"/>
      <c r="AA4" s="581"/>
      <c r="AB4" s="603"/>
      <c r="AC4" s="584"/>
      <c r="AD4" s="581"/>
      <c r="AE4" s="581"/>
      <c r="AF4" s="603"/>
      <c r="AG4" s="584"/>
      <c r="AH4" s="581"/>
      <c r="AI4" s="581"/>
      <c r="AJ4" s="603"/>
      <c r="AK4" s="585"/>
      <c r="AL4" s="581"/>
      <c r="AM4" s="603"/>
      <c r="AO4" s="581"/>
    </row>
    <row r="5" spans="2:86" s="580" customFormat="1">
      <c r="B5" s="582"/>
      <c r="C5" s="582">
        <v>1</v>
      </c>
      <c r="D5" s="687" t="str">
        <f>VLOOKUP($B$1&amp;ROW($A1),Groups!$B$7:$D$65,3,0)</f>
        <v>Engeland</v>
      </c>
      <c r="E5" s="769"/>
      <c r="F5" s="590"/>
      <c r="G5" s="601"/>
      <c r="H5" s="582">
        <f>SUMIFS($R$22:$R$27,$P$22:$P$27,$D5)+SUMIFS($S$22:$S$27,$Q$22:$Q$27,$D5)</f>
        <v>0</v>
      </c>
      <c r="I5" s="582">
        <f>SUMIFS($S$22:$S$27,$P$22:$P$27,$D5)+SUMIFS($R$22:$R$27,$Q$22:$Q$27,$D5)</f>
        <v>0</v>
      </c>
      <c r="J5" s="582">
        <f t="shared" ref="J5:J8" si="0">H5-I5</f>
        <v>0</v>
      </c>
      <c r="K5" s="591">
        <f>M5*3+N5</f>
        <v>0</v>
      </c>
      <c r="L5" s="582">
        <f>M5+N5+O5</f>
        <v>0</v>
      </c>
      <c r="M5" s="582">
        <f>SUMPRODUCT(($P$22:$P$27=D5)*($R$22:$R$27&gt;$S$22:$S$27))+SUMPRODUCT(($Q$22:$Q$27=D5)*($R$22:$R$27&lt;$S$22:$S$27))</f>
        <v>0</v>
      </c>
      <c r="N5" s="582">
        <f>SUMPRODUCT(($P$22:$Q$27=D5)*($R$22:$R$27=$S$22:$S$27)*($R$22:$R$27&lt;&gt;"")*($S$22:$S$27&lt;&gt;""))</f>
        <v>0</v>
      </c>
      <c r="O5" s="582">
        <f>SUMPRODUCT(($P$22:$P$27=D5)*($R$22:$R$27&lt;$S$22:$S$27))+SUMPRODUCT(($Q$22:$Q$27=D5)*($R$22:$R$27&gt;$S$22:$S$27))</f>
        <v>0</v>
      </c>
      <c r="P5" s="592">
        <f>SUMIFS(FairPlay!$C$6:$C$27,FairPlay!$B$6:$B$27,$D5)+SUMIFS(FairPlay!$F$6:$F$27,FairPlay!$E$6:$E$27,$D5)+SUMIFS(FairPlay!$I$6:$I$27,FairPlay!$H$6:$H$27,$D5)</f>
        <v>0</v>
      </c>
      <c r="Q5" s="582">
        <f>INDEX(Language!$D$5:$D$100,MATCH($D5,Language!$E$5:$E$100,0),1)</f>
        <v>4</v>
      </c>
      <c r="R5" s="717">
        <f>(1000-Q5)*($L$9&gt;0)</f>
        <v>0</v>
      </c>
      <c r="S5" s="582"/>
      <c r="T5" s="582"/>
      <c r="U5" s="595"/>
      <c r="V5" s="582"/>
      <c r="W5" s="582"/>
      <c r="X5" s="595"/>
      <c r="Y5" s="582"/>
      <c r="Z5" s="582"/>
      <c r="AA5" s="582"/>
      <c r="AB5" s="595"/>
      <c r="AC5" s="582"/>
      <c r="AD5" s="582"/>
      <c r="AE5" s="582"/>
      <c r="AF5" s="595"/>
      <c r="AG5" s="582"/>
      <c r="AH5" s="582"/>
      <c r="AI5" s="582"/>
      <c r="AJ5" s="595"/>
      <c r="AK5" s="582"/>
      <c r="AL5" s="582"/>
      <c r="AM5" s="595"/>
      <c r="AO5" s="691"/>
      <c r="AU5" s="691" t="b">
        <f t="array" ref="AU5:AU8">COUNTIF($AM$14:$AM$17,$AM$14:$AM$17)&gt;1</f>
        <v>1</v>
      </c>
      <c r="AV5" s="691" t="b">
        <f t="array" ref="AV5:AV8">$L$5:$L$8&gt;0</f>
        <v>0</v>
      </c>
      <c r="BA5" s="771">
        <f>IFERROR(MATCH($C14,$AY$14:$AY$17,0),99)</f>
        <v>1</v>
      </c>
      <c r="BB5" s="772">
        <f>IFERROR(MATCH($C14,$AY$22:$AY$25,0),99)</f>
        <v>99</v>
      </c>
      <c r="BN5" s="771" t="str">
        <f>IF($U14=$BL$14,$C14,"")</f>
        <v/>
      </c>
      <c r="BO5" s="772" t="str">
        <f>INDEX($BN$5:$BN$8,MATCH($C14,$AY$14:$AY$17,0))</f>
        <v/>
      </c>
      <c r="BZ5" s="771" t="str">
        <f>IF($U14=$BX$14,$C14,"")</f>
        <v/>
      </c>
      <c r="CA5" s="772" t="str">
        <f>INDEX($BZ$5:$BZ$8,MATCH($C14,$AY$14:$AY$17,0))</f>
        <v/>
      </c>
    </row>
    <row r="6" spans="2:86" s="580" customFormat="1">
      <c r="B6" s="582"/>
      <c r="C6" s="582">
        <v>2</v>
      </c>
      <c r="D6" s="688" t="str">
        <f>VLOOKUP($B$1&amp;ROW($A2),Groups!$B$7:$D$65,3,0)</f>
        <v>Kroatië</v>
      </c>
      <c r="E6" s="770"/>
      <c r="F6" s="590"/>
      <c r="G6" s="601"/>
      <c r="H6" s="582">
        <f>SUMIFS($R$22:$R$27,$P$22:$P$27,$D6)+SUMIFS($S$22:$S$27,$Q$22:$Q$27,$D6)</f>
        <v>0</v>
      </c>
      <c r="I6" s="582">
        <f>SUMIFS($S$22:$S$27,$P$22:$P$27,$D6)+SUMIFS($R$22:$R$27,$Q$22:$Q$27,$D6)</f>
        <v>0</v>
      </c>
      <c r="J6" s="582">
        <f t="shared" si="0"/>
        <v>0</v>
      </c>
      <c r="K6" s="591">
        <f t="shared" ref="K6:K8" si="1">M6*3+N6</f>
        <v>0</v>
      </c>
      <c r="L6" s="582">
        <f t="shared" ref="L6:L8" si="2">M6+N6+O6</f>
        <v>0</v>
      </c>
      <c r="M6" s="582">
        <f>SUMPRODUCT(($P$22:$P$27=D6)*($R$22:$R$27&gt;$S$22:$S$27))+SUMPRODUCT(($Q$22:$Q$27=D6)*($R$22:$R$27&lt;$S$22:$S$27))</f>
        <v>0</v>
      </c>
      <c r="N6" s="582">
        <f>SUMPRODUCT(($P$22:$Q$27=D6)*($R$22:$R$27=$S$22:$S$27)*($R$22:$R$27&lt;&gt;"")*($S$22:$S$27&lt;&gt;""))</f>
        <v>0</v>
      </c>
      <c r="O6" s="582">
        <f>SUMPRODUCT(($P$22:$P$27=D6)*($R$22:$R$27&lt;$S$22:$S$27))+SUMPRODUCT(($Q$22:$Q$27=D6)*($R$22:$R$27&gt;$S$22:$S$27))</f>
        <v>0</v>
      </c>
      <c r="P6" s="598">
        <f>SUMIFS(FairPlay!$C$6:$C$27,FairPlay!$B$6:$B$27,$D6)+SUMIFS(FairPlay!$F$6:$F$27,FairPlay!$E$6:$E$27,$D6)+SUMIFS(FairPlay!$I$6:$I$27,FairPlay!$H$6:$H$27,$D6)</f>
        <v>0</v>
      </c>
      <c r="Q6" s="582">
        <f>INDEX(Language!$D$5:$D$100,MATCH($D6,Language!$E$5:$E$100,0),1)</f>
        <v>11</v>
      </c>
      <c r="R6" s="717">
        <f t="shared" ref="R6:R8" si="3">(1000-Q6)*($L$9&gt;0)</f>
        <v>0</v>
      </c>
      <c r="S6" s="582"/>
      <c r="T6" s="582"/>
      <c r="U6" s="595"/>
      <c r="V6" s="582"/>
      <c r="W6" s="582"/>
      <c r="X6" s="595"/>
      <c r="Y6" s="582"/>
      <c r="Z6" s="582"/>
      <c r="AA6" s="582"/>
      <c r="AB6" s="595"/>
      <c r="AC6" s="582"/>
      <c r="AD6" s="582"/>
      <c r="AE6" s="582"/>
      <c r="AF6" s="595"/>
      <c r="AG6" s="582"/>
      <c r="AH6" s="582"/>
      <c r="AI6" s="582"/>
      <c r="AJ6" s="595"/>
      <c r="AK6" s="582"/>
      <c r="AL6" s="582"/>
      <c r="AM6" s="595"/>
      <c r="AU6" s="691" t="b">
        <v>1</v>
      </c>
      <c r="AV6" s="691" t="b">
        <v>0</v>
      </c>
      <c r="BA6" s="773">
        <f t="shared" ref="BA6:BA8" si="4">IFERROR(MATCH($C15,$AY$14:$AY$17,0),99)</f>
        <v>2</v>
      </c>
      <c r="BB6" s="774">
        <f t="shared" ref="BB6:BB8" si="5">IFERROR(MATCH($C15,$AY$22:$AY$25,0),99)</f>
        <v>99</v>
      </c>
      <c r="BN6" s="773" t="str">
        <f t="shared" ref="BN6:BN8" si="6">IF($U15=$BL$14,$C15,"")</f>
        <v/>
      </c>
      <c r="BO6" s="774" t="str">
        <f t="shared" ref="BO6:BO8" si="7">INDEX($BN$5:$BN$8,MATCH($C15,$AY$14:$AY$17,0))</f>
        <v/>
      </c>
      <c r="BZ6" s="773" t="str">
        <f t="shared" ref="BZ6:BZ8" si="8">IF($U15=$BX$14,$C15,"")</f>
        <v/>
      </c>
      <c r="CA6" s="774" t="str">
        <f t="shared" ref="CA6:CA8" si="9">INDEX($BZ$5:$BZ$8,MATCH($C15,$AY$14:$AY$17,0))</f>
        <v/>
      </c>
    </row>
    <row r="7" spans="2:86" s="580" customFormat="1">
      <c r="B7" s="582"/>
      <c r="C7" s="582">
        <v>3</v>
      </c>
      <c r="D7" s="688" t="str">
        <f>VLOOKUP($B$1&amp;ROW($A3),Groups!$B$7:$D$65,3,0)</f>
        <v>Ghana</v>
      </c>
      <c r="E7" s="770"/>
      <c r="F7" s="590"/>
      <c r="G7" s="601"/>
      <c r="H7" s="582">
        <f>SUMIFS($R$22:$R$27,$P$22:$P$27,$D7)+SUMIFS($S$22:$S$27,$Q$22:$Q$27,$D7)</f>
        <v>0</v>
      </c>
      <c r="I7" s="582">
        <f>SUMIFS($S$22:$S$27,$P$22:$P$27,$D7)+SUMIFS($R$22:$R$27,$Q$22:$Q$27,$D7)</f>
        <v>0</v>
      </c>
      <c r="J7" s="582">
        <f t="shared" si="0"/>
        <v>0</v>
      </c>
      <c r="K7" s="591">
        <f t="shared" si="1"/>
        <v>0</v>
      </c>
      <c r="L7" s="582">
        <f t="shared" si="2"/>
        <v>0</v>
      </c>
      <c r="M7" s="582">
        <f>SUMPRODUCT(($P$22:$P$27=D7)*($R$22:$R$27&gt;$S$22:$S$27))+SUMPRODUCT(($Q$22:$Q$27=D7)*($R$22:$R$27&lt;$S$22:$S$27))</f>
        <v>0</v>
      </c>
      <c r="N7" s="582">
        <f>SUMPRODUCT(($P$22:$Q$27=D7)*($R$22:$R$27=$S$22:$S$27)*($R$22:$R$27&lt;&gt;"")*($S$22:$S$27&lt;&gt;""))</f>
        <v>0</v>
      </c>
      <c r="O7" s="582">
        <f>SUMPRODUCT(($P$22:$P$27=D7)*($R$22:$R$27&lt;$S$22:$S$27))+SUMPRODUCT(($Q$22:$Q$27=D7)*($R$22:$R$27&gt;$S$22:$S$27))</f>
        <v>0</v>
      </c>
      <c r="P7" s="598">
        <f>SUMIFS(FairPlay!$C$6:$C$27,FairPlay!$B$6:$B$27,$D7)+SUMIFS(FairPlay!$F$6:$F$27,FairPlay!$E$6:$E$27,$D7)+SUMIFS(FairPlay!$I$6:$I$27,FairPlay!$H$6:$H$27,$D7)</f>
        <v>0</v>
      </c>
      <c r="Q7" s="582">
        <f>INDEX(Language!$D$5:$D$100,MATCH($D7,Language!$E$5:$E$100,0),1)</f>
        <v>74</v>
      </c>
      <c r="R7" s="717">
        <f t="shared" si="3"/>
        <v>0</v>
      </c>
      <c r="S7" s="582"/>
      <c r="T7" s="582"/>
      <c r="U7" s="595"/>
      <c r="V7" s="582"/>
      <c r="W7" s="582"/>
      <c r="X7" s="595"/>
      <c r="Y7" s="582"/>
      <c r="Z7" s="582"/>
      <c r="AA7" s="582"/>
      <c r="AB7" s="595"/>
      <c r="AC7" s="582"/>
      <c r="AD7" s="582"/>
      <c r="AE7" s="582"/>
      <c r="AF7" s="595"/>
      <c r="AG7" s="582"/>
      <c r="AH7" s="582"/>
      <c r="AI7" s="582"/>
      <c r="AJ7" s="595"/>
      <c r="AK7" s="582"/>
      <c r="AL7" s="582"/>
      <c r="AM7" s="595"/>
      <c r="AU7" s="691" t="b">
        <v>1</v>
      </c>
      <c r="AV7" s="691" t="b">
        <v>0</v>
      </c>
      <c r="BA7" s="773">
        <f t="shared" si="4"/>
        <v>3</v>
      </c>
      <c r="BB7" s="774">
        <f t="shared" si="5"/>
        <v>99</v>
      </c>
      <c r="BN7" s="773" t="str">
        <f t="shared" si="6"/>
        <v/>
      </c>
      <c r="BO7" s="774" t="str">
        <f t="shared" si="7"/>
        <v/>
      </c>
      <c r="BZ7" s="773" t="str">
        <f t="shared" si="8"/>
        <v/>
      </c>
      <c r="CA7" s="774" t="str">
        <f t="shared" si="9"/>
        <v/>
      </c>
    </row>
    <row r="8" spans="2:86" s="580" customFormat="1">
      <c r="B8" s="582"/>
      <c r="C8" s="582">
        <v>4</v>
      </c>
      <c r="D8" s="689" t="str">
        <f>VLOOKUP($B$1&amp;ROW($A4),Groups!$B$7:$D$65,3,0)</f>
        <v>Panama</v>
      </c>
      <c r="E8" s="770"/>
      <c r="F8" s="590"/>
      <c r="G8" s="601"/>
      <c r="H8" s="582">
        <f>SUMIFS($R$22:$R$27,$P$22:$P$27,$D8)+SUMIFS($S$22:$S$27,$Q$22:$Q$27,$D8)</f>
        <v>0</v>
      </c>
      <c r="I8" s="582">
        <f>SUMIFS($S$22:$S$27,$P$22:$P$27,$D8)+SUMIFS($R$22:$R$27,$Q$22:$Q$27,$D8)</f>
        <v>0</v>
      </c>
      <c r="J8" s="582">
        <f t="shared" si="0"/>
        <v>0</v>
      </c>
      <c r="K8" s="591">
        <f t="shared" si="1"/>
        <v>0</v>
      </c>
      <c r="L8" s="582">
        <f t="shared" si="2"/>
        <v>0</v>
      </c>
      <c r="M8" s="582">
        <f>SUMPRODUCT(($P$22:$P$27=D8)*($R$22:$R$27&gt;$S$22:$S$27))+SUMPRODUCT(($Q$22:$Q$27=D8)*($R$22:$R$27&lt;$S$22:$S$27))</f>
        <v>0</v>
      </c>
      <c r="N8" s="582">
        <f>SUMPRODUCT(($P$22:$Q$27=D8)*($R$22:$R$27=$S$22:$S$27)*($R$22:$R$27&lt;&gt;"")*($S$22:$S$27&lt;&gt;""))</f>
        <v>0</v>
      </c>
      <c r="O8" s="582">
        <f>SUMPRODUCT(($P$22:$P$27=D8)*($R$22:$R$27&lt;$S$22:$S$27))+SUMPRODUCT(($Q$22:$Q$27=D8)*($R$22:$R$27&gt;$S$22:$S$27))</f>
        <v>0</v>
      </c>
      <c r="P8" s="690">
        <f>SUMIFS(FairPlay!$C$6:$C$27,FairPlay!$B$6:$B$27,$D8)+SUMIFS(FairPlay!$F$6:$F$27,FairPlay!$E$6:$E$27,$D8)+SUMIFS(FairPlay!$I$6:$I$27,FairPlay!$H$6:$H$27,$D8)</f>
        <v>0</v>
      </c>
      <c r="Q8" s="582">
        <f>INDEX(Language!$D$5:$D$100,MATCH($D8,Language!$E$5:$E$100,0),1)</f>
        <v>33</v>
      </c>
      <c r="R8" s="717">
        <f t="shared" si="3"/>
        <v>0</v>
      </c>
      <c r="S8" s="582"/>
      <c r="T8" s="582"/>
      <c r="U8" s="595"/>
      <c r="V8" s="582"/>
      <c r="W8" s="582"/>
      <c r="X8" s="595"/>
      <c r="Y8" s="582"/>
      <c r="Z8" s="582"/>
      <c r="AA8" s="582"/>
      <c r="AB8" s="595"/>
      <c r="AC8" s="582"/>
      <c r="AD8" s="582"/>
      <c r="AE8" s="582"/>
      <c r="AF8" s="595"/>
      <c r="AG8" s="582"/>
      <c r="AH8" s="582"/>
      <c r="AI8" s="582"/>
      <c r="AJ8" s="595"/>
      <c r="AK8" s="582"/>
      <c r="AL8" s="582"/>
      <c r="AM8" s="595"/>
      <c r="AU8" s="691" t="b">
        <v>1</v>
      </c>
      <c r="AV8" s="691" t="b">
        <v>0</v>
      </c>
      <c r="BA8" s="775">
        <f t="shared" si="4"/>
        <v>4</v>
      </c>
      <c r="BB8" s="776">
        <f t="shared" si="5"/>
        <v>99</v>
      </c>
      <c r="BN8" s="775" t="str">
        <f t="shared" si="6"/>
        <v/>
      </c>
      <c r="BO8" s="776" t="str">
        <f t="shared" si="7"/>
        <v/>
      </c>
      <c r="BZ8" s="775" t="str">
        <f t="shared" si="8"/>
        <v/>
      </c>
      <c r="CA8" s="776" t="str">
        <f t="shared" si="9"/>
        <v/>
      </c>
    </row>
    <row r="9" spans="2:86" s="580" customFormat="1">
      <c r="C9" s="582"/>
      <c r="D9" s="582"/>
      <c r="E9" s="582"/>
      <c r="F9" s="601"/>
      <c r="G9" s="601"/>
      <c r="H9" s="582"/>
      <c r="I9" s="582"/>
      <c r="J9" s="582"/>
      <c r="K9" s="582"/>
      <c r="L9" s="591">
        <f>QUOTIENT(SUM(L5:L8),2)</f>
        <v>0</v>
      </c>
      <c r="M9" s="582"/>
      <c r="N9" s="582"/>
      <c r="O9" s="582"/>
      <c r="P9" s="582"/>
      <c r="Q9" s="582"/>
      <c r="R9" s="582"/>
      <c r="S9" s="582"/>
      <c r="T9" s="582"/>
      <c r="U9" s="582"/>
      <c r="X9" s="582"/>
      <c r="Y9" s="582"/>
      <c r="Z9" s="582"/>
    </row>
    <row r="10" spans="2:86" s="580" customFormat="1">
      <c r="C10" s="582"/>
      <c r="D10" s="582"/>
      <c r="E10" s="582"/>
      <c r="F10" s="601"/>
      <c r="G10" s="601"/>
      <c r="H10" s="582"/>
      <c r="I10" s="582"/>
      <c r="J10" s="582"/>
      <c r="K10" s="582"/>
      <c r="L10" s="591"/>
      <c r="M10" s="582"/>
      <c r="N10" s="582"/>
      <c r="O10" s="582"/>
      <c r="P10" s="582"/>
      <c r="Q10" s="582"/>
      <c r="R10" s="582"/>
      <c r="S10" s="582"/>
      <c r="T10" s="582"/>
      <c r="U10" s="582"/>
      <c r="X10" s="582"/>
      <c r="Y10" s="582"/>
      <c r="Z10" s="582"/>
    </row>
    <row r="11" spans="2:86" s="580" customFormat="1">
      <c r="C11" s="582"/>
      <c r="D11" s="582"/>
      <c r="E11" s="582"/>
      <c r="F11" s="601"/>
      <c r="G11" s="601"/>
      <c r="H11" s="582"/>
      <c r="I11" s="582"/>
      <c r="J11" s="582"/>
      <c r="K11" s="582"/>
      <c r="L11" s="591"/>
      <c r="M11" s="582"/>
      <c r="N11" s="582"/>
      <c r="O11" s="582"/>
      <c r="P11" s="582"/>
      <c r="Q11" s="582"/>
      <c r="R11" s="582"/>
      <c r="S11" s="582"/>
      <c r="T11" s="582"/>
      <c r="U11" s="582"/>
      <c r="X11" s="582"/>
      <c r="Y11" s="582"/>
      <c r="Z11" s="582"/>
      <c r="BL11" s="601"/>
    </row>
    <row r="12" spans="2:86" s="602" customFormat="1">
      <c r="E12" s="581" t="s">
        <v>1763</v>
      </c>
      <c r="F12" s="585"/>
      <c r="G12" s="581" t="s">
        <v>1763</v>
      </c>
      <c r="H12" s="585"/>
      <c r="I12" s="583" t="s">
        <v>1763</v>
      </c>
      <c r="J12" s="585"/>
      <c r="K12" s="581" t="s">
        <v>1777</v>
      </c>
      <c r="L12" s="581"/>
      <c r="M12" s="583" t="s">
        <v>1763</v>
      </c>
      <c r="N12" s="585"/>
      <c r="O12" s="581" t="s">
        <v>1777</v>
      </c>
      <c r="P12" s="581"/>
      <c r="Q12" s="583" t="s">
        <v>1763</v>
      </c>
      <c r="R12" s="585"/>
      <c r="S12" s="581" t="s">
        <v>1777</v>
      </c>
      <c r="T12" s="581"/>
      <c r="U12" s="583" t="s">
        <v>1763</v>
      </c>
      <c r="V12" s="584"/>
      <c r="W12" s="581" t="s">
        <v>1778</v>
      </c>
      <c r="X12" s="581"/>
      <c r="Y12" s="583" t="s">
        <v>1763</v>
      </c>
      <c r="Z12" s="584"/>
      <c r="AA12" s="581" t="s">
        <v>1778</v>
      </c>
      <c r="AB12" s="581"/>
      <c r="AC12" s="583" t="s">
        <v>1763</v>
      </c>
      <c r="AD12" s="584"/>
      <c r="AE12" s="581" t="s">
        <v>1778</v>
      </c>
      <c r="AF12" s="581"/>
      <c r="AG12" s="583" t="s">
        <v>1763</v>
      </c>
      <c r="AH12" s="581"/>
      <c r="AI12" s="581" t="s">
        <v>190</v>
      </c>
      <c r="AJ12" s="583" t="s">
        <v>1763</v>
      </c>
      <c r="AK12" s="581"/>
      <c r="AL12" s="581" t="s">
        <v>1107</v>
      </c>
      <c r="AM12" s="583" t="s">
        <v>1763</v>
      </c>
      <c r="AN12" s="585"/>
      <c r="AO12" s="581" t="s">
        <v>1764</v>
      </c>
      <c r="AP12" s="583" t="s">
        <v>1763</v>
      </c>
      <c r="AR12" s="581" t="s">
        <v>1792</v>
      </c>
      <c r="AS12" s="583" t="s">
        <v>1763</v>
      </c>
      <c r="AT12" s="583"/>
      <c r="AZ12" s="696" t="s">
        <v>1784</v>
      </c>
      <c r="BJ12" s="695" t="s">
        <v>1782</v>
      </c>
      <c r="BL12" s="601"/>
      <c r="BN12" s="696" t="s">
        <v>1786</v>
      </c>
      <c r="BZ12" s="696" t="s">
        <v>1787</v>
      </c>
    </row>
    <row r="13" spans="2:86" s="602" customFormat="1" ht="12" thickBot="1">
      <c r="E13" s="581" t="s">
        <v>1765</v>
      </c>
      <c r="F13" s="585"/>
      <c r="G13" s="581" t="s">
        <v>1766</v>
      </c>
      <c r="H13" s="585"/>
      <c r="I13" s="603" t="s">
        <v>1769</v>
      </c>
      <c r="J13" s="585"/>
      <c r="K13" s="581" t="s">
        <v>1106</v>
      </c>
      <c r="L13" s="581" t="s">
        <v>1770</v>
      </c>
      <c r="M13" s="603" t="s">
        <v>1771</v>
      </c>
      <c r="N13" s="585"/>
      <c r="O13" s="581" t="s">
        <v>190</v>
      </c>
      <c r="P13" s="581" t="s">
        <v>1770</v>
      </c>
      <c r="Q13" s="603" t="s">
        <v>1772</v>
      </c>
      <c r="R13" s="585"/>
      <c r="S13" s="581" t="s">
        <v>1107</v>
      </c>
      <c r="T13" s="581" t="s">
        <v>1770</v>
      </c>
      <c r="U13" s="603" t="s">
        <v>1773</v>
      </c>
      <c r="V13" s="585"/>
      <c r="W13" s="581" t="s">
        <v>1106</v>
      </c>
      <c r="X13" s="581" t="s">
        <v>1770</v>
      </c>
      <c r="Y13" s="603" t="s">
        <v>1774</v>
      </c>
      <c r="Z13" s="585"/>
      <c r="AA13" s="581" t="s">
        <v>190</v>
      </c>
      <c r="AB13" s="581" t="s">
        <v>1770</v>
      </c>
      <c r="AC13" s="603" t="s">
        <v>1775</v>
      </c>
      <c r="AD13" s="585"/>
      <c r="AE13" s="581" t="s">
        <v>1107</v>
      </c>
      <c r="AF13" s="581" t="s">
        <v>1770</v>
      </c>
      <c r="AG13" s="603" t="s">
        <v>1776</v>
      </c>
      <c r="AH13" s="581"/>
      <c r="AI13" s="581" t="s">
        <v>1770</v>
      </c>
      <c r="AJ13" s="603" t="s">
        <v>1779</v>
      </c>
      <c r="AK13" s="581"/>
      <c r="AL13" s="581" t="s">
        <v>1770</v>
      </c>
      <c r="AM13" s="603" t="s">
        <v>1780</v>
      </c>
      <c r="AN13" s="585"/>
      <c r="AO13" s="581" t="s">
        <v>1770</v>
      </c>
      <c r="AP13" s="603" t="s">
        <v>1781</v>
      </c>
      <c r="AR13" s="581" t="s">
        <v>1770</v>
      </c>
      <c r="AS13" s="603" t="s">
        <v>1793</v>
      </c>
      <c r="AT13" s="603"/>
      <c r="AU13" s="581" t="s">
        <v>1789</v>
      </c>
      <c r="AV13" s="581" t="s">
        <v>1789</v>
      </c>
      <c r="AX13" s="695" t="s">
        <v>1788</v>
      </c>
      <c r="AY13" s="695" t="s">
        <v>1790</v>
      </c>
      <c r="BE13" s="604" t="str">
        <f t="array" ref="BE13:BH13">TRANSPOSE($AZ$14:$AZ$17)</f>
        <v>Engeland</v>
      </c>
      <c r="BF13" s="605" t="str">
        <v>Kroatië</v>
      </c>
      <c r="BG13" s="605" t="str">
        <v>Ghana</v>
      </c>
      <c r="BH13" s="606" t="str">
        <v>Panama</v>
      </c>
      <c r="BJ13" s="695" t="s">
        <v>1783</v>
      </c>
      <c r="BL13" s="695" t="s">
        <v>1788</v>
      </c>
      <c r="BS13" s="604" t="str">
        <f t="array" ref="BS13:BV13">TRANSPOSE($BN$14:$BN$17)</f>
        <v/>
      </c>
      <c r="BT13" s="605" t="str">
        <v/>
      </c>
      <c r="BU13" s="605" t="str">
        <v/>
      </c>
      <c r="BV13" s="606" t="str">
        <v/>
      </c>
      <c r="BX13" s="695" t="s">
        <v>1788</v>
      </c>
      <c r="CE13" s="604" t="str">
        <f t="array" ref="CE13:CH13">TRANSPOSE($BZ$14:$BZ$17)</f>
        <v/>
      </c>
      <c r="CF13" s="605" t="str">
        <v/>
      </c>
      <c r="CG13" s="605" t="str">
        <v/>
      </c>
      <c r="CH13" s="606" t="str">
        <v/>
      </c>
    </row>
    <row r="14" spans="2:86" s="602" customFormat="1" ht="12.5" thickTop="1" thickBot="1">
      <c r="C14" s="601">
        <v>1</v>
      </c>
      <c r="D14" s="601" t="str">
        <f>$D5</f>
        <v>Engeland</v>
      </c>
      <c r="E14" s="589">
        <f>RANK(F14,$F$14:$F$17,1)</f>
        <v>1</v>
      </c>
      <c r="F14" s="590">
        <f>G14+ROW()/1000+(D14="")*10</f>
        <v>1.014</v>
      </c>
      <c r="G14" s="718">
        <f>AS14</f>
        <v>1</v>
      </c>
      <c r="H14" s="594"/>
      <c r="I14" s="593">
        <f>RANK($K5,$K$5:$K$8)</f>
        <v>1</v>
      </c>
      <c r="J14" s="699"/>
      <c r="K14" s="607">
        <f t="array" ref="K14">SUMPRODUCT($U$22:$U$27*($P$22:$P$27=$D14)*ISNUMBER(MATCH($Q$22:$Q$27,IF($I$14:$I$17=$I14,$D$14:$D$17,""),0)))+SUMPRODUCT($V$22:$V$27*($Q$22:$Q$27=$D14)*ISNUMBER(MATCH($P$22:$P$27,IF($I$14:$I$17=$I14,$D$14:$D$17,""),0)))</f>
        <v>0</v>
      </c>
      <c r="L14" s="608">
        <f>COUNTIFS($K$14:$K$17,"&gt;"&amp;$K14,$I$14:$I$17,"="&amp;$I14)</f>
        <v>0</v>
      </c>
      <c r="M14" s="596">
        <f t="shared" ref="M14:M17" si="10">I14+L14</f>
        <v>1</v>
      </c>
      <c r="N14" s="594"/>
      <c r="O14" s="607">
        <f t="array" ref="O14">SUMPRODUCT($W$22:$W$27*($P$22:$P$27=$D14)*ISNUMBER(MATCH($Q$22:$Q$27,IF($I$14:$I$17=$I14,$D$14:$D$17,""),0)))+SUMPRODUCT(-$W$22:$W$27*($Q$22:$Q$27=$D14)*ISNUMBER(MATCH($P$22:$P$27,IF($I$14:$I$17=$I14,$D$14:$D$17,""),0)))</f>
        <v>0</v>
      </c>
      <c r="P14" s="608">
        <f>COUNTIFS($O$14:$O$17,"&gt;"&amp;$O14,$M$14:$M$17,"="&amp;$M14)</f>
        <v>0</v>
      </c>
      <c r="Q14" s="596">
        <f t="shared" ref="Q14:Q17" si="11">M14+P14</f>
        <v>1</v>
      </c>
      <c r="R14" s="594"/>
      <c r="S14" s="607">
        <f t="array" ref="S14">SUMPRODUCT($X$22:$X$27*($P$22:$P$27=$D14)*ISNUMBER(MATCH($Q$22:$Q$27,IF($I$14:$I$17=$I14,$D$14:$D$17,""),0)))+SUMPRODUCT($Y$22:$Y$27*($Q$22:$Q$27=$D14)*ISNUMBER(MATCH($P$22:$P$27,IF($I$14:$I$17=$I14,$D$14:$D$17,""),0)))</f>
        <v>0</v>
      </c>
      <c r="T14" s="608">
        <f>COUNTIFS($S$14:$S$17,"&gt;"&amp;$S14,$Q$14:$Q$17,"="&amp;$Q14)</f>
        <v>0</v>
      </c>
      <c r="U14" s="596">
        <f t="shared" ref="U14:U17" si="12">Q14+T14</f>
        <v>1</v>
      </c>
      <c r="V14" s="699"/>
      <c r="W14" s="607">
        <f t="array" ref="W14">SUMPRODUCT($U$22:$U$27*($P$22:$P$27=$D14)*ISNUMBER(MATCH($Q$22:$Q$27,IF($U$14:$U$17=$U14,$D$14:$D$17,""),0)))+SUMPRODUCT($V$22:$V$27*($Q$22:$Q$27=$D14)*ISNUMBER(MATCH($P$22:$P$27,IF($U$14:$U$17=$U14,$D$14:$D$17,""),0)))</f>
        <v>0</v>
      </c>
      <c r="X14" s="608">
        <f>COUNTIFS($W$14:$W$17,"&gt;"&amp;$W14,$U$14:$U$17,"="&amp;$U14)</f>
        <v>0</v>
      </c>
      <c r="Y14" s="596">
        <f t="shared" ref="Y14:Y17" si="13">U14+X14</f>
        <v>1</v>
      </c>
      <c r="Z14" s="594"/>
      <c r="AA14" s="607">
        <f t="array" ref="AA14">SUMPRODUCT($W$22:$W$27*($P$22:$P$27=$D14)*ISNUMBER(MATCH($Q$22:$Q$27,IF($U$14:$U$17=$U14,$D$14:$D$17,""),0)))+SUMPRODUCT(-$W$22:$W$27*($Q$22:$Q$27=$D14)*ISNUMBER(MATCH($P$22:$P$27,IF($U$14:$U$17=$U14,$D$14:$D$17,""),0)))</f>
        <v>0</v>
      </c>
      <c r="AB14" s="608">
        <f>COUNTIFS($AA$14:$AA$17,"&gt;"&amp;$AA14,$Y$14:$Y$17,"="&amp;$Y14)</f>
        <v>0</v>
      </c>
      <c r="AC14" s="596">
        <f t="shared" ref="AC14:AC17" si="14">Y14+AB14</f>
        <v>1</v>
      </c>
      <c r="AD14" s="594"/>
      <c r="AE14" s="607">
        <f t="array" ref="AE14">SUMPRODUCT($X$22:$X$27*($P$22:$P$27=$D14)*ISNUMBER(MATCH($Q$22:$Q$27,IF($U$14:$U$17=$U14,$D$14:$D$17,""),0)))+SUMPRODUCT($Y$22:$Y$27*($Q$22:$Q$27=$D14)*ISNUMBER(MATCH($P$22:$P$27,IF($U$14:$U$17=$U14,$D$14:$D$17,""),0)))</f>
        <v>0</v>
      </c>
      <c r="AF14" s="608">
        <f>COUNTIFS($AE$14:$AE$17,"&gt;"&amp;$AE14,$AC$14:$AC$17,"="&amp;$AC14)</f>
        <v>0</v>
      </c>
      <c r="AG14" s="596">
        <f t="shared" ref="AG14:AG17" si="15">AC14+AF14</f>
        <v>1</v>
      </c>
      <c r="AH14" s="699"/>
      <c r="AI14" s="609">
        <f>COUNTIFS($J$5:$J$8,"&gt;"&amp;$J5,$AG$14:$AG$17,"="&amp;$AG14)</f>
        <v>0</v>
      </c>
      <c r="AJ14" s="610">
        <f>AG14+AI14</f>
        <v>1</v>
      </c>
      <c r="AK14" s="594"/>
      <c r="AL14" s="609">
        <f>COUNTIFS($H$5:$H$8,"&gt;"&amp;$H5,$AJ$14:$AJ$17,"="&amp;$AJ14)</f>
        <v>0</v>
      </c>
      <c r="AM14" s="610">
        <f>AJ14+AL14</f>
        <v>1</v>
      </c>
      <c r="AN14" s="594"/>
      <c r="AO14" s="609">
        <f>COUNTIFS($P$5:$P$8,"&gt;"&amp;$P5,$AM$14:$AM$17,"="&amp;$AM14)</f>
        <v>0</v>
      </c>
      <c r="AP14" s="610">
        <f t="shared" ref="AP14:AP17" si="16">AM14+AO14</f>
        <v>1</v>
      </c>
      <c r="AQ14" s="594"/>
      <c r="AR14" s="609">
        <f>COUNTIFS($R$5:$R$8,"&gt;"&amp;$R5,$AP$14:$AP$17,"="&amp;$AP14)</f>
        <v>0</v>
      </c>
      <c r="AS14" s="610">
        <f t="shared" ref="AS14:AS17" si="17">AP14+AR14</f>
        <v>1</v>
      </c>
      <c r="AT14" s="594"/>
      <c r="AU14" s="712" t="b">
        <f t="array" ref="AU14">AND($L$9&gt;0,(SUM(($AM$14:$AM$17=TRANSPOSE($AM$14:$AM$17))*(($L$5:$L$8&gt;0)*TRANSPOSE($L$5:$L$8)+({1;2;3;4}={1,2,3,4})&gt;0))-4)&gt;0)</f>
        <v>0</v>
      </c>
      <c r="AV14" s="624" t="b">
        <f>AND($AU5,$AV5)</f>
        <v>0</v>
      </c>
      <c r="AX14" s="697">
        <f t="array" ref="AX14">IFERROR(SMALL(IF(COUNTIF($I$14:$I$17,$C$14:$C$17)&gt;1,$C$14:$C$17,""),1),"")</f>
        <v>1</v>
      </c>
      <c r="AY14" s="624">
        <f>IFERROR(INDEX($E$14:$E$17,IF($I14=$AX$14,$C14,99)),0)</f>
        <v>1</v>
      </c>
      <c r="AZ14" s="611" t="str">
        <f t="array" ref="AZ14:AZ17">IFERROR(VLOOKUP($BA$5:$BA$8,$C$14:$D$17,2,0),"")</f>
        <v>Engeland</v>
      </c>
      <c r="BA14" s="614">
        <f t="array" ref="BA14:BA17">IFERROR(VLOOKUP($BA$5:$BA$8,$C$14:$K$17,9,0),"")</f>
        <v>0</v>
      </c>
      <c r="BB14" s="614">
        <f t="array" ref="BB14:BB17">IFERROR(VLOOKUP($BA$5:$BA$8,$C$14:$O$17,13,0),"")</f>
        <v>0</v>
      </c>
      <c r="BC14" s="616">
        <f t="array" ref="BC14:BC17">IFERROR(VLOOKUP($BA$5:$BA$8,$C$14:$S$17,17,0),"")</f>
        <v>0</v>
      </c>
      <c r="BE14" s="619" t="str">
        <f t="array" ref="BE14:BH17">IFERROR(VLOOKUP($AZ$14:$AZ$17&amp;$BE$13:$BH$13,$Z$22:$AA$33,2,0),"")</f>
        <v/>
      </c>
      <c r="BF14" s="620" t="str">
        <v/>
      </c>
      <c r="BG14" s="620" t="str">
        <v/>
      </c>
      <c r="BH14" s="621" t="str">
        <v/>
      </c>
      <c r="BI14" s="624"/>
      <c r="BJ14" s="694" t="b">
        <f>COUNTIF($I$14:$I$17,$BL$15)&lt;&gt;COUNTIF($U$14:$U$17,$BL$15)</f>
        <v>0</v>
      </c>
      <c r="BK14" s="592">
        <f t="array" ref="BK14:BK17">IF($I$14:$I$17=$AX$14,$U$14:$U$17,0)</f>
        <v>1</v>
      </c>
      <c r="BL14" s="698" t="str">
        <f>IF($BJ$14,$BL$15,"")</f>
        <v/>
      </c>
      <c r="BM14" s="629"/>
      <c r="BN14" s="611" t="str">
        <f t="array" ref="BN14:BN17">IFERROR(VLOOKUP($BO$5:$BO$8,$C$14:$D$17,2,0),"")</f>
        <v/>
      </c>
      <c r="BO14" s="614" t="str">
        <f t="array" ref="BO14:BO17">IFERROR(VLOOKUP($BO$5:$BO$8,$C$14:$W$17,21,0),"")</f>
        <v/>
      </c>
      <c r="BP14" s="614" t="str">
        <f t="array" ref="BP14:BP17">IFERROR(VLOOKUP($BO$5:$BO$8,$C$14:$AA$17,25,0),"")</f>
        <v/>
      </c>
      <c r="BQ14" s="616" t="str">
        <f t="array" ref="BQ14:BQ17">IFERROR(VLOOKUP($BO$5:$BO$8,$C$14:$AE$17,29,0),"")</f>
        <v/>
      </c>
      <c r="BS14" s="619" t="str">
        <f t="array" ref="BS14:BV17">IFERROR(VLOOKUP($BN$14:$BN$17&amp;$BS$13:$BV$13,$Z$22:$AA$33,2,0),"")</f>
        <v/>
      </c>
      <c r="BT14" s="620" t="str">
        <v/>
      </c>
      <c r="BU14" s="620" t="str">
        <v/>
      </c>
      <c r="BV14" s="621" t="str">
        <v/>
      </c>
      <c r="BX14" s="697" t="str">
        <f t="array" ref="BX14">IFERROR(SMALL(IF(COUNTIF($BK$14:$BK$17,$C$14:$C$17)&gt;1,$C$14:$C$17,""),2),"")</f>
        <v/>
      </c>
      <c r="BZ14" s="611" t="str">
        <f t="array" ref="BZ14:BZ17">IFERROR(VLOOKUP($CA$5:$CA$8,$C$14:$D$17,2,0),"")</f>
        <v/>
      </c>
      <c r="CA14" s="614" t="str">
        <f t="array" ref="CA14:CA17">IFERROR(VLOOKUP($CA$5:$CA$8,$C$14:$W$17,21,0),"")</f>
        <v/>
      </c>
      <c r="CB14" s="614" t="str">
        <f t="array" ref="CB14:CB17">IFERROR(VLOOKUP($CA$5:$CA$8,$C$14:$AA$17,25,0),"")</f>
        <v/>
      </c>
      <c r="CC14" s="616" t="str">
        <f t="array" ref="CC14:CC17">IFERROR(VLOOKUP($CA$5:$CA$8,$C$14:$AE$17,29,0),"")</f>
        <v/>
      </c>
      <c r="CE14" s="619" t="str">
        <f t="array" ref="CE14:CH17">IFERROR(VLOOKUP($BZ$14:$BZ$17&amp;$CE$13:$CH$13,$Z$22:$AA$33,2,0),"")</f>
        <v/>
      </c>
      <c r="CF14" s="620" t="str">
        <v/>
      </c>
      <c r="CG14" s="620" t="str">
        <v/>
      </c>
      <c r="CH14" s="621" t="str">
        <v/>
      </c>
    </row>
    <row r="15" spans="2:86" s="602" customFormat="1">
      <c r="C15" s="601">
        <v>2</v>
      </c>
      <c r="D15" s="601" t="str">
        <f t="shared" ref="D15:D17" si="18">$D6</f>
        <v>Kroatië</v>
      </c>
      <c r="E15" s="597">
        <f t="shared" ref="E15:E17" si="19">RANK(F15,$F$14:$F$17,1)</f>
        <v>2</v>
      </c>
      <c r="F15" s="590">
        <f t="shared" ref="F15:F17" si="20">G15+ROW()/1000+(D15="")*10</f>
        <v>1.0149999999999999</v>
      </c>
      <c r="G15" s="718">
        <f t="shared" ref="G15:G17" si="21">AS15</f>
        <v>1</v>
      </c>
      <c r="H15" s="594"/>
      <c r="I15" s="599">
        <f t="shared" ref="I15:I17" si="22">RANK($K6,$K$5:$K$8)</f>
        <v>1</v>
      </c>
      <c r="J15" s="699"/>
      <c r="K15" s="582">
        <f t="array" ref="K15">SUMPRODUCT($U$22:$U$27*($P$22:$P$27=$D15)*ISNUMBER(MATCH($Q$22:$Q$27,IF($I$14:$I$17=$I15,$D$14:$D$17,""),0)))+SUMPRODUCT($V$22:$V$27*($Q$22:$Q$27=$D15)*ISNUMBER(MATCH($P$22:$P$27,IF($I$14:$I$17=$I15,$D$14:$D$17,""),0)))</f>
        <v>0</v>
      </c>
      <c r="L15" s="582">
        <f>COUNTIFS($K$14:$K$17,"&gt;"&amp;$K15,$I$14:$I$17,"="&amp;$I15)</f>
        <v>0</v>
      </c>
      <c r="M15" s="595">
        <f t="shared" si="10"/>
        <v>1</v>
      </c>
      <c r="N15" s="594"/>
      <c r="O15" s="582">
        <f t="array" ref="O15">SUMPRODUCT($W$22:$W$27*($P$22:$P$27=$D15)*ISNUMBER(MATCH($Q$22:$Q$27,IF($I$14:$I$17=$I15,$D$14:$D$17,""),0)))+SUMPRODUCT(-$W$22:$W$27*($Q$22:$Q$27=$D15)*ISNUMBER(MATCH($P$22:$P$27,IF($I$14:$I$17=$I15,$D$14:$D$17,""),0)))</f>
        <v>0</v>
      </c>
      <c r="P15" s="582">
        <f>COUNTIFS($O$14:$O$17,"&gt;"&amp;$O15,$M$14:$M$17,"="&amp;$M15)</f>
        <v>0</v>
      </c>
      <c r="Q15" s="595">
        <f t="shared" si="11"/>
        <v>1</v>
      </c>
      <c r="R15" s="594"/>
      <c r="S15" s="582">
        <f t="array" ref="S15">SUMPRODUCT($X$22:$X$27*($P$22:$P$27=$D15)*ISNUMBER(MATCH($Q$22:$Q$27,IF($I$14:$I$17=$I15,$D$14:$D$17,""),0)))+SUMPRODUCT($Y$22:$Y$27*($Q$22:$Q$27=$D15)*ISNUMBER(MATCH($P$22:$P$27,IF($I$14:$I$17=$I15,$D$14:$D$17,""),0)))</f>
        <v>0</v>
      </c>
      <c r="T15" s="582">
        <f>COUNTIFS($S$14:$S$17,"&gt;"&amp;$S15,$Q$14:$Q$17,"="&amp;$Q15)</f>
        <v>0</v>
      </c>
      <c r="U15" s="595">
        <f t="shared" si="12"/>
        <v>1</v>
      </c>
      <c r="V15" s="699"/>
      <c r="W15" s="582">
        <f t="array" ref="W15">SUMPRODUCT($U$22:$U$27*($P$22:$P$27=$D15)*ISNUMBER(MATCH($Q$22:$Q$27,IF($U$14:$U$17=$U15,$D$14:$D$17,""),0)))+SUMPRODUCT($V$22:$V$27*($Q$22:$Q$27=$D15)*ISNUMBER(MATCH($P$22:$P$27,IF($U$14:$U$17=$U15,$D$14:$D$17,""),0)))</f>
        <v>0</v>
      </c>
      <c r="X15" s="582">
        <f>COUNTIFS($W$14:$W$17,"&gt;"&amp;$W15,$U$14:$U$17,"="&amp;$U15)</f>
        <v>0</v>
      </c>
      <c r="Y15" s="595">
        <f t="shared" si="13"/>
        <v>1</v>
      </c>
      <c r="Z15" s="594"/>
      <c r="AA15" s="582">
        <f t="array" ref="AA15">SUMPRODUCT($W$22:$W$27*($P$22:$P$27=$D15)*ISNUMBER(MATCH($Q$22:$Q$27,IF($U$14:$U$17=$U15,$D$14:$D$17,""),0)))+SUMPRODUCT(-$W$22:$W$27*($Q$22:$Q$27=$D15)*ISNUMBER(MATCH($P$22:$P$27,IF($U$14:$U$17=$U15,$D$14:$D$17,""),0)))</f>
        <v>0</v>
      </c>
      <c r="AB15" s="582">
        <f>COUNTIFS($AA$14:$AA$17,"&gt;"&amp;$AA15,$Y$14:$Y$17,"="&amp;$Y15)</f>
        <v>0</v>
      </c>
      <c r="AC15" s="595">
        <f t="shared" si="14"/>
        <v>1</v>
      </c>
      <c r="AD15" s="594"/>
      <c r="AE15" s="582">
        <f t="array" ref="AE15">SUMPRODUCT($X$22:$X$27*($P$22:$P$27=$D15)*ISNUMBER(MATCH($Q$22:$Q$27,IF($U$14:$U$17=$U15,$D$14:$D$17,""),0)))+SUMPRODUCT($Y$22:$Y$27*($Q$22:$Q$27=$D15)*ISNUMBER(MATCH($P$22:$P$27,IF($U$14:$U$17=$U15,$D$14:$D$17,""),0)))</f>
        <v>0</v>
      </c>
      <c r="AF15" s="582">
        <f>COUNTIFS($AE$14:$AE$17,"&gt;"&amp;$AE15,$AC$14:$AC$17,"="&amp;$AC15)</f>
        <v>0</v>
      </c>
      <c r="AG15" s="595">
        <f t="shared" si="15"/>
        <v>1</v>
      </c>
      <c r="AH15" s="699"/>
      <c r="AI15" s="601">
        <f>COUNTIFS($J$5:$J$8,"&gt;"&amp;$J6,$AG$14:$AG$17,"="&amp;$AG15)</f>
        <v>0</v>
      </c>
      <c r="AJ15" s="595">
        <f t="shared" ref="AJ15:AJ17" si="23">AG15+AI15</f>
        <v>1</v>
      </c>
      <c r="AK15" s="594"/>
      <c r="AL15" s="601">
        <f>COUNTIFS($H$5:$H$8,"&gt;"&amp;$H6,$AJ$14:$AJ$17,"="&amp;$AJ15)</f>
        <v>0</v>
      </c>
      <c r="AM15" s="595">
        <f t="shared" ref="AM15:AM17" si="24">AJ15+AL15</f>
        <v>1</v>
      </c>
      <c r="AN15" s="594"/>
      <c r="AO15" s="601">
        <f>COUNTIFS($P$5:$P$8,"&gt;"&amp;$P6,$AM$14:$AM$17,"="&amp;$AM15)</f>
        <v>0</v>
      </c>
      <c r="AP15" s="595">
        <f t="shared" si="16"/>
        <v>1</v>
      </c>
      <c r="AQ15" s="594"/>
      <c r="AR15" s="601">
        <f t="shared" ref="AR15:AR17" si="25">COUNTIFS($R$5:$R$8,"&gt;"&amp;$R6,$AP$14:$AP$17,"="&amp;$AP15)</f>
        <v>0</v>
      </c>
      <c r="AS15" s="595">
        <f t="shared" si="17"/>
        <v>1</v>
      </c>
      <c r="AT15" s="594"/>
      <c r="AV15" s="624" t="b">
        <f t="shared" ref="AV15:AV17" si="26">AND($AU6,$AV6)</f>
        <v>0</v>
      </c>
      <c r="AX15" s="693"/>
      <c r="AY15" s="624">
        <f t="shared" ref="AY15:AY17" si="27">IFERROR(INDEX($E$14:$E$17,IF($I15=$AX$14,$C15,99)),0)</f>
        <v>2</v>
      </c>
      <c r="AZ15" s="612" t="str">
        <v>Kroatië</v>
      </c>
      <c r="BA15" s="601">
        <v>0</v>
      </c>
      <c r="BB15" s="601">
        <v>0</v>
      </c>
      <c r="BC15" s="617">
        <v>0</v>
      </c>
      <c r="BE15" s="622" t="str">
        <v/>
      </c>
      <c r="BF15" s="623" t="str">
        <v/>
      </c>
      <c r="BG15" s="624" t="str">
        <v/>
      </c>
      <c r="BH15" s="625" t="str">
        <v/>
      </c>
      <c r="BI15" s="624"/>
      <c r="BK15" s="598">
        <v>1</v>
      </c>
      <c r="BL15" s="701">
        <f t="array" ref="BL15">IFERROR(SMALL(IF(COUNTIF($BK$14:$BK$17,$C$14:$C$17)&gt;1,$C$14:$C$17,""),1),"")</f>
        <v>1</v>
      </c>
      <c r="BN15" s="612" t="str">
        <v/>
      </c>
      <c r="BO15" s="601" t="str">
        <v/>
      </c>
      <c r="BP15" s="601" t="str">
        <v/>
      </c>
      <c r="BQ15" s="617" t="str">
        <v/>
      </c>
      <c r="BS15" s="622" t="str">
        <v/>
      </c>
      <c r="BT15" s="623" t="str">
        <v/>
      </c>
      <c r="BU15" s="624" t="str">
        <v/>
      </c>
      <c r="BV15" s="625" t="str">
        <v/>
      </c>
      <c r="BZ15" s="612" t="str">
        <v/>
      </c>
      <c r="CA15" s="601" t="str">
        <v/>
      </c>
      <c r="CB15" s="601" t="str">
        <v/>
      </c>
      <c r="CC15" s="617" t="str">
        <v/>
      </c>
      <c r="CE15" s="622" t="str">
        <v/>
      </c>
      <c r="CF15" s="623" t="str">
        <v/>
      </c>
      <c r="CG15" s="624" t="str">
        <v/>
      </c>
      <c r="CH15" s="625" t="str">
        <v/>
      </c>
    </row>
    <row r="16" spans="2:86" s="602" customFormat="1">
      <c r="C16" s="601">
        <v>3</v>
      </c>
      <c r="D16" s="601" t="str">
        <f t="shared" si="18"/>
        <v>Ghana</v>
      </c>
      <c r="E16" s="597">
        <f t="shared" si="19"/>
        <v>3</v>
      </c>
      <c r="F16" s="590">
        <f t="shared" si="20"/>
        <v>1.016</v>
      </c>
      <c r="G16" s="718">
        <f t="shared" si="21"/>
        <v>1</v>
      </c>
      <c r="H16" s="594"/>
      <c r="I16" s="599">
        <f t="shared" si="22"/>
        <v>1</v>
      </c>
      <c r="J16" s="699"/>
      <c r="K16" s="582">
        <f t="array" ref="K16">SUMPRODUCT($U$22:$U$27*($P$22:$P$27=$D16)*ISNUMBER(MATCH($Q$22:$Q$27,IF($I$14:$I$17=$I16,$D$14:$D$17,""),0)))+SUMPRODUCT($V$22:$V$27*($Q$22:$Q$27=$D16)*ISNUMBER(MATCH($P$22:$P$27,IF($I$14:$I$17=$I16,$D$14:$D$17,""),0)))</f>
        <v>0</v>
      </c>
      <c r="L16" s="582">
        <f>COUNTIFS($K$14:$K$17,"&gt;"&amp;$K16,$I$14:$I$17,"="&amp;$I16)</f>
        <v>0</v>
      </c>
      <c r="M16" s="595">
        <f t="shared" si="10"/>
        <v>1</v>
      </c>
      <c r="N16" s="594"/>
      <c r="O16" s="582">
        <f t="array" ref="O16">SUMPRODUCT($W$22:$W$27*($P$22:$P$27=$D16)*ISNUMBER(MATCH($Q$22:$Q$27,IF($I$14:$I$17=$I16,$D$14:$D$17,""),0)))+SUMPRODUCT(-$W$22:$W$27*($Q$22:$Q$27=$D16)*ISNUMBER(MATCH($P$22:$P$27,IF($I$14:$I$17=$I16,$D$14:$D$17,""),0)))</f>
        <v>0</v>
      </c>
      <c r="P16" s="582">
        <f>COUNTIFS($O$14:$O$17,"&gt;"&amp;$O16,$M$14:$M$17,"="&amp;$M16)</f>
        <v>0</v>
      </c>
      <c r="Q16" s="595">
        <f t="shared" si="11"/>
        <v>1</v>
      </c>
      <c r="R16" s="594"/>
      <c r="S16" s="582">
        <f t="array" ref="S16">SUMPRODUCT($X$22:$X$27*($P$22:$P$27=$D16)*ISNUMBER(MATCH($Q$22:$Q$27,IF($I$14:$I$17=$I16,$D$14:$D$17,""),0)))+SUMPRODUCT($Y$22:$Y$27*($Q$22:$Q$27=$D16)*ISNUMBER(MATCH($P$22:$P$27,IF($I$14:$I$17=$I16,$D$14:$D$17,""),0)))</f>
        <v>0</v>
      </c>
      <c r="T16" s="582">
        <f>COUNTIFS($S$14:$S$17,"&gt;"&amp;$S16,$Q$14:$Q$17,"="&amp;$Q16)</f>
        <v>0</v>
      </c>
      <c r="U16" s="595">
        <f t="shared" si="12"/>
        <v>1</v>
      </c>
      <c r="V16" s="699"/>
      <c r="W16" s="582">
        <f t="array" ref="W16">SUMPRODUCT($U$22:$U$27*($P$22:$P$27=$D16)*ISNUMBER(MATCH($Q$22:$Q$27,IF($U$14:$U$17=$U16,$D$14:$D$17,""),0)))+SUMPRODUCT($V$22:$V$27*($Q$22:$Q$27=$D16)*ISNUMBER(MATCH($P$22:$P$27,IF($U$14:$U$17=$U16,$D$14:$D$17,""),0)))</f>
        <v>0</v>
      </c>
      <c r="X16" s="582">
        <f>COUNTIFS($W$14:$W$17,"&gt;"&amp;$W16,$U$14:$U$17,"="&amp;$U16)</f>
        <v>0</v>
      </c>
      <c r="Y16" s="595">
        <f t="shared" si="13"/>
        <v>1</v>
      </c>
      <c r="Z16" s="594"/>
      <c r="AA16" s="582">
        <f t="array" ref="AA16">SUMPRODUCT($W$22:$W$27*($P$22:$P$27=$D16)*ISNUMBER(MATCH($Q$22:$Q$27,IF($U$14:$U$17=$U16,$D$14:$D$17,""),0)))+SUMPRODUCT(-$W$22:$W$27*($Q$22:$Q$27=$D16)*ISNUMBER(MATCH($P$22:$P$27,IF($U$14:$U$17=$U16,$D$14:$D$17,""),0)))</f>
        <v>0</v>
      </c>
      <c r="AB16" s="582">
        <f>COUNTIFS($AA$14:$AA$17,"&gt;"&amp;$AA16,$Y$14:$Y$17,"="&amp;$Y16)</f>
        <v>0</v>
      </c>
      <c r="AC16" s="595">
        <f t="shared" si="14"/>
        <v>1</v>
      </c>
      <c r="AD16" s="594"/>
      <c r="AE16" s="582">
        <f t="array" ref="AE16">SUMPRODUCT($X$22:$X$27*($P$22:$P$27=$D16)*ISNUMBER(MATCH($Q$22:$Q$27,IF($U$14:$U$17=$U16,$D$14:$D$17,""),0)))+SUMPRODUCT($Y$22:$Y$27*($Q$22:$Q$27=$D16)*ISNUMBER(MATCH($P$22:$P$27,IF($U$14:$U$17=$U16,$D$14:$D$17,""),0)))</f>
        <v>0</v>
      </c>
      <c r="AF16" s="582">
        <f>COUNTIFS($AE$14:$AE$17,"&gt;"&amp;$AE16,$AC$14:$AC$17,"="&amp;$AC16)</f>
        <v>0</v>
      </c>
      <c r="AG16" s="595">
        <f t="shared" si="15"/>
        <v>1</v>
      </c>
      <c r="AH16" s="699"/>
      <c r="AI16" s="601">
        <f>COUNTIFS($J$5:$J$8,"&gt;"&amp;$J7,$AG$14:$AG$17,"="&amp;$AG16)</f>
        <v>0</v>
      </c>
      <c r="AJ16" s="595">
        <f t="shared" si="23"/>
        <v>1</v>
      </c>
      <c r="AK16" s="594"/>
      <c r="AL16" s="601">
        <f>COUNTIFS($H$5:$H$8,"&gt;"&amp;$H7,$AJ$14:$AJ$17,"="&amp;$AJ16)</f>
        <v>0</v>
      </c>
      <c r="AM16" s="595">
        <f t="shared" si="24"/>
        <v>1</v>
      </c>
      <c r="AN16" s="594"/>
      <c r="AO16" s="601">
        <f>COUNTIFS($P$5:$P$8,"&gt;"&amp;$P7,$AM$14:$AM$17,"="&amp;$AM16)</f>
        <v>0</v>
      </c>
      <c r="AP16" s="595">
        <f t="shared" si="16"/>
        <v>1</v>
      </c>
      <c r="AQ16" s="594"/>
      <c r="AR16" s="601">
        <f t="shared" si="25"/>
        <v>0</v>
      </c>
      <c r="AS16" s="595">
        <f t="shared" si="17"/>
        <v>1</v>
      </c>
      <c r="AT16" s="594"/>
      <c r="AV16" s="624" t="b">
        <f t="shared" si="26"/>
        <v>0</v>
      </c>
      <c r="AX16" s="601"/>
      <c r="AY16" s="624">
        <f t="shared" si="27"/>
        <v>3</v>
      </c>
      <c r="AZ16" s="612" t="str">
        <v>Ghana</v>
      </c>
      <c r="BA16" s="601">
        <v>0</v>
      </c>
      <c r="BB16" s="601">
        <v>0</v>
      </c>
      <c r="BC16" s="617">
        <v>0</v>
      </c>
      <c r="BE16" s="622" t="str">
        <v/>
      </c>
      <c r="BF16" s="624" t="str">
        <v/>
      </c>
      <c r="BG16" s="623" t="str">
        <v/>
      </c>
      <c r="BH16" s="625" t="str">
        <v/>
      </c>
      <c r="BI16" s="624"/>
      <c r="BJ16" s="624"/>
      <c r="BK16" s="598">
        <v>1</v>
      </c>
      <c r="BL16" s="601"/>
      <c r="BN16" s="612" t="str">
        <v/>
      </c>
      <c r="BO16" s="601" t="str">
        <v/>
      </c>
      <c r="BP16" s="601" t="str">
        <v/>
      </c>
      <c r="BQ16" s="617" t="str">
        <v/>
      </c>
      <c r="BS16" s="622" t="str">
        <v/>
      </c>
      <c r="BT16" s="624" t="str">
        <v/>
      </c>
      <c r="BU16" s="623" t="str">
        <v/>
      </c>
      <c r="BV16" s="625" t="str">
        <v/>
      </c>
      <c r="BZ16" s="612" t="str">
        <v/>
      </c>
      <c r="CA16" s="601" t="str">
        <v/>
      </c>
      <c r="CB16" s="601" t="str">
        <v/>
      </c>
      <c r="CC16" s="617" t="str">
        <v/>
      </c>
      <c r="CE16" s="622" t="str">
        <v/>
      </c>
      <c r="CF16" s="624" t="str">
        <v/>
      </c>
      <c r="CG16" s="623" t="str">
        <v/>
      </c>
      <c r="CH16" s="625" t="str">
        <v/>
      </c>
    </row>
    <row r="17" spans="3:86" s="602" customFormat="1" ht="12" thickBot="1">
      <c r="C17" s="601">
        <v>4</v>
      </c>
      <c r="D17" s="601" t="str">
        <f t="shared" si="18"/>
        <v>Panama</v>
      </c>
      <c r="E17" s="600">
        <f t="shared" si="19"/>
        <v>4</v>
      </c>
      <c r="F17" s="590">
        <f t="shared" si="20"/>
        <v>1.0169999999999999</v>
      </c>
      <c r="G17" s="718">
        <f t="shared" si="21"/>
        <v>1</v>
      </c>
      <c r="H17" s="594"/>
      <c r="I17" s="599">
        <f t="shared" si="22"/>
        <v>1</v>
      </c>
      <c r="J17" s="699"/>
      <c r="K17" s="582">
        <f t="array" ref="K17">SUMPRODUCT($U$22:$U$27*($P$22:$P$27=$D17)*ISNUMBER(MATCH($Q$22:$Q$27,IF($I$14:$I$17=$I17,$D$14:$D$17,""),0)))+SUMPRODUCT($V$22:$V$27*($Q$22:$Q$27=$D17)*ISNUMBER(MATCH($P$22:$P$27,IF($I$14:$I$17=$I17,$D$14:$D$17,""),0)))</f>
        <v>0</v>
      </c>
      <c r="L17" s="582">
        <f>COUNTIFS($K$14:$K$17,"&gt;"&amp;$K17,$I$14:$I$17,"="&amp;$I17)</f>
        <v>0</v>
      </c>
      <c r="M17" s="595">
        <f t="shared" si="10"/>
        <v>1</v>
      </c>
      <c r="N17" s="594"/>
      <c r="O17" s="582">
        <f t="array" ref="O17">SUMPRODUCT($W$22:$W$27*($P$22:$P$27=$D17)*ISNUMBER(MATCH($Q$22:$Q$27,IF($I$14:$I$17=$I17,$D$14:$D$17,""),0)))+SUMPRODUCT(-$W$22:$W$27*($Q$22:$Q$27=$D17)*ISNUMBER(MATCH($P$22:$P$27,IF($I$14:$I$17=$I17,$D$14:$D$17,""),0)))</f>
        <v>0</v>
      </c>
      <c r="P17" s="582">
        <f>COUNTIFS($O$14:$O$17,"&gt;"&amp;$O17,$M$14:$M$17,"="&amp;$M17)</f>
        <v>0</v>
      </c>
      <c r="Q17" s="595">
        <f t="shared" si="11"/>
        <v>1</v>
      </c>
      <c r="R17" s="594"/>
      <c r="S17" s="582">
        <f t="array" ref="S17">SUMPRODUCT($X$22:$X$27*($P$22:$P$27=$D17)*ISNUMBER(MATCH($Q$22:$Q$27,IF($I$14:$I$17=$I17,$D$14:$D$17,""),0)))+SUMPRODUCT($Y$22:$Y$27*($Q$22:$Q$27=$D17)*ISNUMBER(MATCH($P$22:$P$27,IF($I$14:$I$17=$I17,$D$14:$D$17,""),0)))</f>
        <v>0</v>
      </c>
      <c r="T17" s="582">
        <f>COUNTIFS($S$14:$S$17,"&gt;"&amp;$S17,$Q$14:$Q$17,"="&amp;$Q17)</f>
        <v>0</v>
      </c>
      <c r="U17" s="595">
        <f t="shared" si="12"/>
        <v>1</v>
      </c>
      <c r="V17" s="699"/>
      <c r="W17" s="582">
        <f t="array" ref="W17">SUMPRODUCT($U$22:$U$27*($P$22:$P$27=$D17)*ISNUMBER(MATCH($Q$22:$Q$27,IF($U$14:$U$17=$U17,$D$14:$D$17,""),0)))+SUMPRODUCT($V$22:$V$27*($Q$22:$Q$27=$D17)*ISNUMBER(MATCH($P$22:$P$27,IF($U$14:$U$17=$U17,$D$14:$D$17,""),0)))</f>
        <v>0</v>
      </c>
      <c r="X17" s="582">
        <f>COUNTIFS($W$14:$W$17,"&gt;"&amp;$W17,$U$14:$U$17,"="&amp;$U17)</f>
        <v>0</v>
      </c>
      <c r="Y17" s="595">
        <f t="shared" si="13"/>
        <v>1</v>
      </c>
      <c r="Z17" s="594"/>
      <c r="AA17" s="582">
        <f t="array" ref="AA17">SUMPRODUCT($W$22:$W$27*($P$22:$P$27=$D17)*ISNUMBER(MATCH($Q$22:$Q$27,IF($U$14:$U$17=$U17,$D$14:$D$17,""),0)))+SUMPRODUCT(-$W$22:$W$27*($Q$22:$Q$27=$D17)*ISNUMBER(MATCH($P$22:$P$27,IF($U$14:$U$17=$U17,$D$14:$D$17,""),0)))</f>
        <v>0</v>
      </c>
      <c r="AB17" s="582">
        <f>COUNTIFS($AA$14:$AA$17,"&gt;"&amp;$AA17,$Y$14:$Y$17,"="&amp;$Y17)</f>
        <v>0</v>
      </c>
      <c r="AC17" s="595">
        <f t="shared" si="14"/>
        <v>1</v>
      </c>
      <c r="AD17" s="594"/>
      <c r="AE17" s="582">
        <f t="array" ref="AE17">SUMPRODUCT($X$22:$X$27*($P$22:$P$27=$D17)*ISNUMBER(MATCH($Q$22:$Q$27,IF($U$14:$U$17=$U17,$D$14:$D$17,""),0)))+SUMPRODUCT($Y$22:$Y$27*($Q$22:$Q$27=$D17)*ISNUMBER(MATCH($P$22:$P$27,IF($U$14:$U$17=$U17,$D$14:$D$17,""),0)))</f>
        <v>0</v>
      </c>
      <c r="AF17" s="582">
        <f>COUNTIFS($AE$14:$AE$17,"&gt;"&amp;$AE17,$AC$14:$AC$17,"="&amp;$AC17)</f>
        <v>0</v>
      </c>
      <c r="AG17" s="595">
        <f t="shared" si="15"/>
        <v>1</v>
      </c>
      <c r="AH17" s="699"/>
      <c r="AI17" s="601">
        <f>COUNTIFS($J$5:$J$8,"&gt;"&amp;$J8,$AG$14:$AG$17,"="&amp;$AG17)</f>
        <v>0</v>
      </c>
      <c r="AJ17" s="595">
        <f t="shared" si="23"/>
        <v>1</v>
      </c>
      <c r="AK17" s="594"/>
      <c r="AL17" s="601">
        <f>COUNTIFS($H$5:$H$8,"&gt;"&amp;$H8,$AJ$14:$AJ$17,"="&amp;$AJ17)</f>
        <v>0</v>
      </c>
      <c r="AM17" s="595">
        <f t="shared" si="24"/>
        <v>1</v>
      </c>
      <c r="AN17" s="594"/>
      <c r="AO17" s="601">
        <f>COUNTIFS($P$5:$P$8,"&gt;"&amp;$P8,$AM$14:$AM$17,"="&amp;$AM17)</f>
        <v>0</v>
      </c>
      <c r="AP17" s="595">
        <f t="shared" si="16"/>
        <v>1</v>
      </c>
      <c r="AQ17" s="594"/>
      <c r="AR17" s="601">
        <f t="shared" si="25"/>
        <v>0</v>
      </c>
      <c r="AS17" s="595">
        <f t="shared" si="17"/>
        <v>1</v>
      </c>
      <c r="AT17" s="594"/>
      <c r="AV17" s="624" t="b">
        <f t="shared" si="26"/>
        <v>0</v>
      </c>
      <c r="AX17" s="601"/>
      <c r="AY17" s="624">
        <f t="shared" si="27"/>
        <v>4</v>
      </c>
      <c r="AZ17" s="613" t="str">
        <v>Panama</v>
      </c>
      <c r="BA17" s="615">
        <v>0</v>
      </c>
      <c r="BB17" s="615">
        <v>0</v>
      </c>
      <c r="BC17" s="618">
        <v>0</v>
      </c>
      <c r="BE17" s="626" t="str">
        <v/>
      </c>
      <c r="BF17" s="627" t="str">
        <v/>
      </c>
      <c r="BG17" s="627" t="str">
        <v/>
      </c>
      <c r="BH17" s="628" t="str">
        <v/>
      </c>
      <c r="BI17" s="624"/>
      <c r="BJ17" s="624"/>
      <c r="BK17" s="690">
        <v>1</v>
      </c>
      <c r="BL17" s="601"/>
      <c r="BN17" s="613" t="str">
        <v/>
      </c>
      <c r="BO17" s="615" t="str">
        <v/>
      </c>
      <c r="BP17" s="615" t="str">
        <v/>
      </c>
      <c r="BQ17" s="618" t="str">
        <v/>
      </c>
      <c r="BS17" s="626" t="str">
        <v/>
      </c>
      <c r="BT17" s="627" t="str">
        <v/>
      </c>
      <c r="BU17" s="627" t="str">
        <v/>
      </c>
      <c r="BV17" s="628" t="str">
        <v/>
      </c>
      <c r="BZ17" s="613" t="str">
        <v/>
      </c>
      <c r="CA17" s="615" t="str">
        <v/>
      </c>
      <c r="CB17" s="615" t="str">
        <v/>
      </c>
      <c r="CC17" s="618" t="str">
        <v/>
      </c>
      <c r="CE17" s="626" t="str">
        <v/>
      </c>
      <c r="CF17" s="627" t="str">
        <v/>
      </c>
      <c r="CG17" s="627" t="str">
        <v/>
      </c>
      <c r="CH17" s="628" t="str">
        <v/>
      </c>
    </row>
    <row r="18" spans="3:86" s="602" customFormat="1" ht="12" thickTop="1">
      <c r="P18" s="601"/>
      <c r="Q18" s="601"/>
      <c r="R18" s="601"/>
      <c r="S18" s="601"/>
      <c r="T18" s="601"/>
      <c r="U18" s="601"/>
      <c r="BK18" s="601"/>
      <c r="BL18" s="601"/>
    </row>
    <row r="19" spans="3:86" s="602" customFormat="1">
      <c r="BK19" s="601"/>
      <c r="BL19" s="601"/>
    </row>
    <row r="20" spans="3:86" s="580" customFormat="1">
      <c r="O20" s="630"/>
      <c r="W20" s="630"/>
      <c r="Y20" s="630"/>
      <c r="AZ20" s="696" t="s">
        <v>1785</v>
      </c>
      <c r="BK20" s="582"/>
      <c r="BL20" s="582"/>
    </row>
    <row r="21" spans="3:86" s="580" customFormat="1" ht="15.75" customHeight="1" thickBot="1">
      <c r="D21" s="631"/>
      <c r="E21" s="587" t="s">
        <v>1106</v>
      </c>
      <c r="F21" s="586" t="s">
        <v>1107</v>
      </c>
      <c r="G21" s="586" t="s">
        <v>1108</v>
      </c>
      <c r="H21" s="632" t="str">
        <f t="array" ref="H21:K21">TRANSPOSE($D$22:$D$25)</f>
        <v>Engeland</v>
      </c>
      <c r="I21" s="633" t="str">
        <v>Kroatië</v>
      </c>
      <c r="J21" s="633" t="str">
        <v>Ghana</v>
      </c>
      <c r="K21" s="634" t="str">
        <v>Panama</v>
      </c>
      <c r="L21" s="581" t="s">
        <v>1791</v>
      </c>
      <c r="M21" s="581" t="s">
        <v>1789</v>
      </c>
      <c r="N21" s="591" t="s">
        <v>1792</v>
      </c>
      <c r="T21" s="630" t="s">
        <v>169</v>
      </c>
      <c r="U21" s="957" t="s">
        <v>1106</v>
      </c>
      <c r="V21" s="957"/>
      <c r="W21" s="676" t="s">
        <v>190</v>
      </c>
      <c r="X21" s="676" t="s">
        <v>1107</v>
      </c>
      <c r="Y21" s="676" t="s">
        <v>1108</v>
      </c>
      <c r="AA21" s="635"/>
      <c r="AE21" s="602"/>
      <c r="AF21" s="602"/>
      <c r="AH21" s="602"/>
      <c r="AI21" s="602"/>
      <c r="AJ21" s="602"/>
      <c r="AK21" s="602"/>
      <c r="AL21" s="602"/>
      <c r="AM21" s="602"/>
      <c r="AN21" s="602"/>
      <c r="AO21" s="602"/>
      <c r="AX21" s="695" t="s">
        <v>1788</v>
      </c>
      <c r="AY21" s="695" t="s">
        <v>1790</v>
      </c>
      <c r="AZ21" s="602"/>
      <c r="BA21" s="602"/>
      <c r="BB21" s="602"/>
      <c r="BC21" s="602"/>
      <c r="BD21" s="602"/>
      <c r="BE21" s="604" t="str">
        <f t="array" ref="BE21:BH21">TRANSPOSE($AZ$22:$AZ$25)</f>
        <v/>
      </c>
      <c r="BF21" s="605" t="str">
        <v/>
      </c>
      <c r="BG21" s="605" t="str">
        <v/>
      </c>
      <c r="BH21" s="606" t="str">
        <v/>
      </c>
      <c r="BI21" s="602"/>
      <c r="BJ21" s="602"/>
      <c r="BK21" s="601"/>
      <c r="BL21" s="601"/>
      <c r="BM21" s="602"/>
      <c r="BN21" s="602"/>
      <c r="BO21" s="602"/>
      <c r="BP21" s="602"/>
      <c r="BQ21" s="602"/>
      <c r="BR21" s="602"/>
      <c r="BS21" s="602"/>
      <c r="BT21" s="602"/>
      <c r="BU21" s="602"/>
      <c r="BV21" s="602"/>
    </row>
    <row r="22" spans="3:86" s="580" customFormat="1" ht="12" thickTop="1">
      <c r="C22" s="582"/>
      <c r="D22" s="636" t="str">
        <f>IF($L$9=0,$D5,INDEX($D$5:$D$8,MATCH($C5,$E$14:$E$17,0)))</f>
        <v>Engeland</v>
      </c>
      <c r="E22" s="705">
        <f>VLOOKUP($D22,$D$5:$K$8,8,0)</f>
        <v>0</v>
      </c>
      <c r="F22" s="638">
        <f>VLOOKUP($D22,$D$5:$K$8,5,0)</f>
        <v>0</v>
      </c>
      <c r="G22" s="706">
        <f>VLOOKUP($D22,$D$5:$K$8,6,0)</f>
        <v>0</v>
      </c>
      <c r="H22" s="637" t="str">
        <f t="array" ref="H22:K25">IFERROR(VLOOKUP($D$22:$D$25&amp;$H$21:$K$21,$Z$22:$AA$33,2,0),"")</f>
        <v/>
      </c>
      <c r="I22" s="638" t="str">
        <v/>
      </c>
      <c r="J22" s="638" t="str">
        <v/>
      </c>
      <c r="K22" s="702" t="str">
        <v/>
      </c>
      <c r="L22" s="691" t="b">
        <f>OR($E22&gt;0,$G22&gt;0)</f>
        <v>0</v>
      </c>
      <c r="M22" s="691" t="b">
        <f t="array" ref="M22:M25">VLOOKUP($D$22:$D$25,$D$14:$AV$17,45,0)</f>
        <v>0</v>
      </c>
      <c r="N22" s="582">
        <f>VLOOKUP($D22,$D$5:$Q$8,14,0)</f>
        <v>4</v>
      </c>
      <c r="O22" s="643" t="s">
        <v>26</v>
      </c>
      <c r="P22" s="678" t="str">
        <f>INDEX('World Cup'!$B$13:$AJ$38,1,1+(CODE($B$1)-65)*3)</f>
        <v>Engeland</v>
      </c>
      <c r="Q22" s="679" t="str">
        <f>INDEX('World Cup'!$B$13:$AJ$38,1,2+(CODE($B$1)-65)*3)</f>
        <v>Kroatië</v>
      </c>
      <c r="R22" s="679" t="str">
        <f>IF(OR(INDEX('World Cup'!$B$14:$AJ$39,1,1+(CODE($B$1)-65)*3)="",INDEX('World Cup'!$B$14:$AJ$39,1,2+(CODE($B$1)-65)*3)=""),"",INDEX('World Cup'!$B$14:$AJ$39,1,1+(CODE($B$1)-65)*3))</f>
        <v/>
      </c>
      <c r="S22" s="680" t="str">
        <f>IF(OR(INDEX('World Cup'!$B$14:$AJ$39,1,1+(CODE($B$1)-65)*3)="",INDEX('World Cup'!$B$14:$AJ$39,1,2+(CODE($B$1)-65)*3)=""),"",INDEX('World Cup'!$B$14:$AJ$39,1,2+(CODE($B$1)-65)*3))</f>
        <v/>
      </c>
      <c r="T22" s="645">
        <f t="shared" ref="T22:T25" si="28">IF(AND(P22&lt;&gt;"",Q22&lt;&gt;"",P22&lt;&gt;Q22,R22&lt;&gt;"",S22&lt;&gt;""),1,0)</f>
        <v>0</v>
      </c>
      <c r="U22" s="646">
        <f t="shared" ref="U22:U25" si="29">IF($T22=0,0,IF($R22&gt;$S22,3,IF($R22=$S22,1,0)))</f>
        <v>0</v>
      </c>
      <c r="V22" s="647">
        <f t="shared" ref="V22:V25" si="30">IF($T22=0,0,IF($R22&lt;$S22,3,IF($R22=$S22,1,0)))</f>
        <v>0</v>
      </c>
      <c r="W22" s="648">
        <f t="shared" ref="W22:W25" si="31">IF(OR(R22="",S22=""),0,R22-S22)</f>
        <v>0</v>
      </c>
      <c r="X22" s="649">
        <f t="shared" ref="X22:X25" si="32">IF(OR(R22="",S22=""),0,R22)</f>
        <v>0</v>
      </c>
      <c r="Y22" s="650">
        <f t="shared" ref="Y22:Y25" si="33">IF(OR(R22="",S22=""),0,S22)</f>
        <v>0</v>
      </c>
      <c r="Z22" s="651" t="str">
        <f t="shared" ref="Z22:Z25" si="34">P22&amp;Q22</f>
        <v>EngelandKroatië</v>
      </c>
      <c r="AA22" s="652" t="str">
        <f>IF($T22,$X22&amp;Language!$E$197&amp;$Y22,"")</f>
        <v/>
      </c>
      <c r="AB22" s="691"/>
      <c r="AC22" s="691"/>
      <c r="AD22" s="691"/>
      <c r="AE22" s="582"/>
      <c r="AF22" s="692"/>
      <c r="AG22" s="692"/>
      <c r="AH22" s="692"/>
      <c r="AI22" s="691"/>
      <c r="AJ22" s="601"/>
      <c r="AK22" s="653"/>
      <c r="AL22" s="601"/>
      <c r="AN22" s="601"/>
      <c r="AO22" s="601"/>
      <c r="AX22" s="697" t="str">
        <f t="array" ref="AX22">IFERROR(SMALL(IF(COUNTIF($I$14:$I$17,$C$14:$C$17)&gt;1,$C$14:$C$17,""),2),"")</f>
        <v/>
      </c>
      <c r="AY22" s="624">
        <f>IFERROR(INDEX($E$14:$E$17,IF($I14=$AX$22,$C14,99)),0)</f>
        <v>0</v>
      </c>
      <c r="AZ22" s="611" t="str">
        <f t="array" ref="AZ22:AZ25">IFERROR(VLOOKUP($BB$5:$BB$8,$C$14:$D$17,2,0),"")</f>
        <v/>
      </c>
      <c r="BA22" s="614" t="str">
        <f t="array" ref="BA22:BA25">IFERROR(VLOOKUP($BB$5:$BB$8,$C$14:$K$17,9,0),"")</f>
        <v/>
      </c>
      <c r="BB22" s="614" t="str">
        <f t="array" ref="BB22:BB25">IFERROR(VLOOKUP($BB$5:$BB$8,$C$14:$O$17,13,0),"")</f>
        <v/>
      </c>
      <c r="BC22" s="616" t="str">
        <f t="array" ref="BC22:BC25">IFERROR(VLOOKUP($BB$5:$BB$8,$C$14:$S$17,17,0),"")</f>
        <v/>
      </c>
      <c r="BD22" s="602"/>
      <c r="BE22" s="619" t="str">
        <f t="array" ref="BE22:BH25">IFERROR(VLOOKUP($AZ$22:$AZ$25&amp;$BE$21:$BH$21,$Z$22:$AA$33,2,0),"")</f>
        <v/>
      </c>
      <c r="BF22" s="620" t="str">
        <v/>
      </c>
      <c r="BG22" s="620" t="str">
        <v/>
      </c>
      <c r="BH22" s="621" t="str">
        <v/>
      </c>
      <c r="BI22" s="624"/>
      <c r="BJ22" s="624"/>
      <c r="BK22" s="582"/>
      <c r="BL22" s="601"/>
      <c r="BM22" s="602"/>
      <c r="BN22" s="602"/>
      <c r="BO22" s="601"/>
      <c r="BP22" s="601"/>
      <c r="BQ22" s="601"/>
      <c r="BR22" s="602"/>
      <c r="BS22" s="624"/>
      <c r="BT22" s="624"/>
      <c r="BU22" s="624"/>
      <c r="BV22" s="624"/>
    </row>
    <row r="23" spans="3:86" s="580" customFormat="1">
      <c r="C23" s="582"/>
      <c r="D23" s="654" t="str">
        <f t="shared" ref="D23:D25" si="35">IF($L$9=0,$D6,INDEX($D$5:$D$8,MATCH($C6,$E$14:$E$17,0)))</f>
        <v>Kroatië</v>
      </c>
      <c r="E23" s="700">
        <f t="shared" ref="E23:E25" si="36">VLOOKUP($D23,$D$5:$K$8,8,0)</f>
        <v>0</v>
      </c>
      <c r="F23" s="582">
        <f t="shared" ref="F23:F25" si="37">VLOOKUP($D23,$D$5:$K$8,5,0)</f>
        <v>0</v>
      </c>
      <c r="G23" s="707">
        <f t="shared" ref="G23:G25" si="38">VLOOKUP($D23,$D$5:$K$8,6,0)</f>
        <v>0</v>
      </c>
      <c r="H23" s="639" t="str">
        <v/>
      </c>
      <c r="I23" s="640" t="str">
        <v/>
      </c>
      <c r="J23" s="582" t="str">
        <v/>
      </c>
      <c r="K23" s="703" t="str">
        <v/>
      </c>
      <c r="L23" s="691" t="b">
        <f t="shared" ref="L23:L25" si="39">OR($E23&gt;0,$G23&gt;0)</f>
        <v>0</v>
      </c>
      <c r="M23" s="691" t="b">
        <v>0</v>
      </c>
      <c r="N23" s="582">
        <f t="shared" ref="N23:N25" si="40">VLOOKUP($D23,$D$5:$Q$8,14,0)</f>
        <v>11</v>
      </c>
      <c r="O23" s="655" t="s">
        <v>27</v>
      </c>
      <c r="P23" s="681" t="str">
        <f>INDEX('World Cup'!$B$13:$AJ$38,6,1+(CODE($B$1)-65)*3)</f>
        <v>Ghana</v>
      </c>
      <c r="Q23" s="682" t="str">
        <f>INDEX('World Cup'!$B$13:$AJ$38,6,2+(CODE($B$1)-65)*3)</f>
        <v>Panama</v>
      </c>
      <c r="R23" s="682" t="str">
        <f>IF(OR(INDEX('World Cup'!$B$14:$AJ$39,6,1+(CODE($B$1)-65)*3)="",INDEX('World Cup'!$B$14:$AJ$39,6,2+(CODE($B$1)-65)*3)=""),"",INDEX('World Cup'!$B$14:$AJ$39,6,1+(CODE($B$1)-65)*3))</f>
        <v/>
      </c>
      <c r="S23" s="683" t="str">
        <f>IF(OR(INDEX('World Cup'!$B$14:$AJ$39,6,1+(CODE($B$1)-65)*3)="",INDEX('World Cup'!$B$14:$AJ$39,6,2+(CODE($B$1)-65)*3)=""),"",INDEX('World Cup'!$B$14:$AJ$39,6,2+(CODE($B$1)-65)*3))</f>
        <v/>
      </c>
      <c r="T23" s="582">
        <f t="shared" si="28"/>
        <v>0</v>
      </c>
      <c r="U23" s="657">
        <f t="shared" si="29"/>
        <v>0</v>
      </c>
      <c r="V23" s="582">
        <f t="shared" si="30"/>
        <v>0</v>
      </c>
      <c r="W23" s="658">
        <f t="shared" si="31"/>
        <v>0</v>
      </c>
      <c r="X23" s="659">
        <f t="shared" si="32"/>
        <v>0</v>
      </c>
      <c r="Y23" s="660">
        <f t="shared" si="33"/>
        <v>0</v>
      </c>
      <c r="Z23" s="661" t="str">
        <f t="shared" si="34"/>
        <v>GhanaPanama</v>
      </c>
      <c r="AA23" s="662" t="str">
        <f>IF($T23,$X23&amp;Language!$E$197&amp;$Y23,"")</f>
        <v/>
      </c>
      <c r="AB23" s="691"/>
      <c r="AC23" s="691"/>
      <c r="AD23" s="691"/>
      <c r="AE23" s="582"/>
      <c r="AF23" s="692"/>
      <c r="AG23" s="692"/>
      <c r="AH23" s="692"/>
      <c r="AI23" s="692"/>
      <c r="AJ23" s="601"/>
      <c r="AK23" s="653"/>
      <c r="AL23" s="601"/>
      <c r="AN23" s="601"/>
      <c r="AO23" s="601"/>
      <c r="AY23" s="624">
        <f t="shared" ref="AY23:AY25" si="41">IFERROR(INDEX($E$14:$E$17,IF($I15=$AX$22,$C15,99)),0)</f>
        <v>0</v>
      </c>
      <c r="AZ23" s="612" t="str">
        <v/>
      </c>
      <c r="BA23" s="601" t="str">
        <v/>
      </c>
      <c r="BB23" s="601" t="str">
        <v/>
      </c>
      <c r="BC23" s="617" t="str">
        <v/>
      </c>
      <c r="BD23" s="602"/>
      <c r="BE23" s="622" t="str">
        <v/>
      </c>
      <c r="BF23" s="623" t="str">
        <v/>
      </c>
      <c r="BG23" s="624" t="str">
        <v/>
      </c>
      <c r="BH23" s="625" t="str">
        <v/>
      </c>
      <c r="BI23" s="624"/>
      <c r="BJ23" s="624"/>
      <c r="BK23" s="582"/>
      <c r="BL23" s="601"/>
      <c r="BM23" s="602"/>
      <c r="BN23" s="602"/>
      <c r="BO23" s="601"/>
      <c r="BP23" s="601"/>
      <c r="BQ23" s="601"/>
      <c r="BR23" s="602"/>
      <c r="BS23" s="624"/>
      <c r="BT23" s="624"/>
      <c r="BU23" s="624"/>
      <c r="BV23" s="624"/>
    </row>
    <row r="24" spans="3:86" s="580" customFormat="1">
      <c r="C24" s="582"/>
      <c r="D24" s="654" t="str">
        <f t="shared" si="35"/>
        <v>Ghana</v>
      </c>
      <c r="E24" s="700">
        <f t="shared" si="36"/>
        <v>0</v>
      </c>
      <c r="F24" s="582">
        <f t="shared" si="37"/>
        <v>0</v>
      </c>
      <c r="G24" s="707">
        <f t="shared" si="38"/>
        <v>0</v>
      </c>
      <c r="H24" s="639" t="str">
        <v/>
      </c>
      <c r="I24" s="582" t="str">
        <v/>
      </c>
      <c r="J24" s="640" t="str">
        <v/>
      </c>
      <c r="K24" s="703" t="str">
        <v/>
      </c>
      <c r="L24" s="691" t="b">
        <f t="shared" si="39"/>
        <v>0</v>
      </c>
      <c r="M24" s="691" t="b">
        <v>0</v>
      </c>
      <c r="N24" s="582">
        <f t="shared" si="40"/>
        <v>74</v>
      </c>
      <c r="O24" s="655" t="s">
        <v>28</v>
      </c>
      <c r="P24" s="681" t="str">
        <f>INDEX('World Cup'!$B$13:$AJ$38,11,1+(CODE($B$1)-65)*3)</f>
        <v>Engeland</v>
      </c>
      <c r="Q24" s="682" t="str">
        <f>INDEX('World Cup'!$B$13:$AJ$38,11,2+(CODE($B$1)-65)*3)</f>
        <v>Ghana</v>
      </c>
      <c r="R24" s="682" t="str">
        <f>IF(OR(INDEX('World Cup'!$B$14:$AJ$39,11,1+(CODE($B$1)-65)*3)="",INDEX('World Cup'!$B$14:$AJ$39,11,2+(CODE($B$1)-65)*3)=""),"",INDEX('World Cup'!$B$14:$AJ$39,11,1+(CODE($B$1)-65)*3))</f>
        <v/>
      </c>
      <c r="S24" s="683" t="str">
        <f>IF(OR(INDEX('World Cup'!$B$14:$AJ$39,11,1+(CODE($B$1)-65)*3)="",INDEX('World Cup'!$B$14:$AJ$39,11,2+(CODE($B$1)-65)*3)=""),"",INDEX('World Cup'!$B$14:$AJ$39,11,2+(CODE($B$1)-65)*3))</f>
        <v/>
      </c>
      <c r="T24" s="582">
        <f t="shared" si="28"/>
        <v>0</v>
      </c>
      <c r="U24" s="657">
        <f t="shared" si="29"/>
        <v>0</v>
      </c>
      <c r="V24" s="582">
        <f t="shared" si="30"/>
        <v>0</v>
      </c>
      <c r="W24" s="658">
        <f t="shared" si="31"/>
        <v>0</v>
      </c>
      <c r="X24" s="659">
        <f t="shared" si="32"/>
        <v>0</v>
      </c>
      <c r="Y24" s="660">
        <f t="shared" si="33"/>
        <v>0</v>
      </c>
      <c r="Z24" s="661" t="str">
        <f t="shared" si="34"/>
        <v>EngelandGhana</v>
      </c>
      <c r="AA24" s="662" t="str">
        <f>IF($T24,$X24&amp;Language!$E$197&amp;$Y24,"")</f>
        <v/>
      </c>
      <c r="AB24" s="691"/>
      <c r="AC24" s="691"/>
      <c r="AD24" s="691"/>
      <c r="AE24" s="582"/>
      <c r="AF24" s="692"/>
      <c r="AG24" s="692"/>
      <c r="AH24" s="692"/>
      <c r="AI24" s="692"/>
      <c r="AJ24" s="601"/>
      <c r="AK24" s="653"/>
      <c r="AL24" s="601"/>
      <c r="AN24" s="601"/>
      <c r="AO24" s="601"/>
      <c r="AY24" s="624">
        <f t="shared" si="41"/>
        <v>0</v>
      </c>
      <c r="AZ24" s="612" t="str">
        <v/>
      </c>
      <c r="BA24" s="601" t="str">
        <v/>
      </c>
      <c r="BB24" s="601" t="str">
        <v/>
      </c>
      <c r="BC24" s="617" t="str">
        <v/>
      </c>
      <c r="BD24" s="602"/>
      <c r="BE24" s="622" t="str">
        <v/>
      </c>
      <c r="BF24" s="624" t="str">
        <v/>
      </c>
      <c r="BG24" s="623" t="str">
        <v/>
      </c>
      <c r="BH24" s="625" t="str">
        <v/>
      </c>
      <c r="BI24" s="624"/>
      <c r="BJ24" s="624"/>
      <c r="BK24" s="582"/>
      <c r="BL24" s="601"/>
      <c r="BM24" s="602"/>
      <c r="BN24" s="602"/>
      <c r="BO24" s="601"/>
      <c r="BP24" s="601"/>
      <c r="BQ24" s="601"/>
      <c r="BR24" s="602"/>
      <c r="BS24" s="624"/>
      <c r="BT24" s="624"/>
      <c r="BU24" s="624"/>
      <c r="BV24" s="624"/>
    </row>
    <row r="25" spans="3:86" s="580" customFormat="1">
      <c r="C25" s="582"/>
      <c r="D25" s="663" t="str">
        <f t="shared" si="35"/>
        <v>Panama</v>
      </c>
      <c r="E25" s="708">
        <f t="shared" si="36"/>
        <v>0</v>
      </c>
      <c r="F25" s="642">
        <f t="shared" si="37"/>
        <v>0</v>
      </c>
      <c r="G25" s="709">
        <f t="shared" si="38"/>
        <v>0</v>
      </c>
      <c r="H25" s="641" t="str">
        <v/>
      </c>
      <c r="I25" s="642" t="str">
        <v/>
      </c>
      <c r="J25" s="642" t="str">
        <v/>
      </c>
      <c r="K25" s="704" t="str">
        <v/>
      </c>
      <c r="L25" s="691" t="b">
        <f t="shared" si="39"/>
        <v>0</v>
      </c>
      <c r="M25" s="691" t="b">
        <v>0</v>
      </c>
      <c r="N25" s="582">
        <f t="shared" si="40"/>
        <v>33</v>
      </c>
      <c r="O25" s="655" t="s">
        <v>29</v>
      </c>
      <c r="P25" s="681" t="str">
        <f>INDEX('World Cup'!$B$13:$AJ$38,16,1+(CODE($B$1)-65)*3)</f>
        <v>Panama</v>
      </c>
      <c r="Q25" s="682" t="str">
        <f>INDEX('World Cup'!$B$13:$AJ$38,16,2+(CODE($B$1)-65)*3)</f>
        <v>Kroatië</v>
      </c>
      <c r="R25" s="682" t="str">
        <f>IF(OR(INDEX('World Cup'!$B$14:$AJ$39,16,1+(CODE($B$1)-65)*3)="",INDEX('World Cup'!$B$14:$AJ$39,16,2+(CODE($B$1)-65)*3)=""),"",INDEX('World Cup'!$B$14:$AJ$39,16,1+(CODE($B$1)-65)*3))</f>
        <v/>
      </c>
      <c r="S25" s="683" t="str">
        <f>IF(OR(INDEX('World Cup'!$B$14:$AJ$39,16,1+(CODE($B$1)-65)*3)="",INDEX('World Cup'!$B$14:$AJ$39,16,2+(CODE($B$1)-65)*3)=""),"",INDEX('World Cup'!$B$14:$AJ$39,16,2+(CODE($B$1)-65)*3))</f>
        <v/>
      </c>
      <c r="T25" s="582">
        <f t="shared" si="28"/>
        <v>0</v>
      </c>
      <c r="U25" s="657">
        <f t="shared" si="29"/>
        <v>0</v>
      </c>
      <c r="V25" s="582">
        <f t="shared" si="30"/>
        <v>0</v>
      </c>
      <c r="W25" s="658">
        <f t="shared" si="31"/>
        <v>0</v>
      </c>
      <c r="X25" s="659">
        <f t="shared" si="32"/>
        <v>0</v>
      </c>
      <c r="Y25" s="660">
        <f t="shared" si="33"/>
        <v>0</v>
      </c>
      <c r="Z25" s="661" t="str">
        <f t="shared" si="34"/>
        <v>PanamaKroatië</v>
      </c>
      <c r="AA25" s="662" t="str">
        <f>IF($T25,$X25&amp;Language!$E$197&amp;$Y25,"")</f>
        <v/>
      </c>
      <c r="AB25" s="691"/>
      <c r="AC25" s="691"/>
      <c r="AD25" s="691"/>
      <c r="AE25" s="582"/>
      <c r="AF25" s="692"/>
      <c r="AG25" s="692"/>
      <c r="AH25" s="692"/>
      <c r="AI25" s="692"/>
      <c r="AJ25" s="601"/>
      <c r="AK25" s="653"/>
      <c r="AL25" s="601"/>
      <c r="AN25" s="601"/>
      <c r="AO25" s="601"/>
      <c r="AY25" s="624">
        <f t="shared" si="41"/>
        <v>0</v>
      </c>
      <c r="AZ25" s="613" t="str">
        <v/>
      </c>
      <c r="BA25" s="615" t="str">
        <v/>
      </c>
      <c r="BB25" s="615" t="str">
        <v/>
      </c>
      <c r="BC25" s="618" t="str">
        <v/>
      </c>
      <c r="BD25" s="602"/>
      <c r="BE25" s="626" t="str">
        <v/>
      </c>
      <c r="BF25" s="627" t="str">
        <v/>
      </c>
      <c r="BG25" s="627" t="str">
        <v/>
      </c>
      <c r="BH25" s="628" t="str">
        <v/>
      </c>
      <c r="BI25" s="624"/>
      <c r="BJ25" s="624"/>
      <c r="BK25" s="582"/>
      <c r="BL25" s="601"/>
      <c r="BM25" s="602"/>
      <c r="BN25" s="602"/>
      <c r="BO25" s="602"/>
      <c r="BP25" s="602"/>
      <c r="BQ25" s="602"/>
      <c r="BR25" s="602"/>
      <c r="BS25" s="624"/>
      <c r="BT25" s="624"/>
      <c r="BU25" s="624"/>
      <c r="BV25" s="624"/>
    </row>
    <row r="26" spans="3:86" s="580" customFormat="1">
      <c r="C26" s="582"/>
      <c r="D26" s="664"/>
      <c r="E26" s="664"/>
      <c r="F26" s="582"/>
      <c r="G26" s="582"/>
      <c r="H26" s="630"/>
      <c r="O26" s="655" t="s">
        <v>1110</v>
      </c>
      <c r="P26" s="681" t="str">
        <f>INDEX('World Cup'!$B$13:$AJ$38,21,1+(CODE($B$1)-65)*3)</f>
        <v>Panama</v>
      </c>
      <c r="Q26" s="682" t="str">
        <f>INDEX('World Cup'!$B$13:$AJ$38,21,2+(CODE($B$1)-65)*3)</f>
        <v>Engeland</v>
      </c>
      <c r="R26" s="682" t="str">
        <f>IF(OR(INDEX('World Cup'!$B$14:$AJ$39,21,1+(CODE($B$1)-65)*3)="",INDEX('World Cup'!$B$14:$AJ$39,21,2+(CODE($B$1)-65)*3)=""),"",INDEX('World Cup'!$B$14:$AJ$39,21,1+(CODE($B$1)-65)*3))</f>
        <v/>
      </c>
      <c r="S26" s="683" t="str">
        <f>IF(OR(INDEX('World Cup'!$B$14:$AJ$39,21,1+(CODE($B$1)-65)*3)="",INDEX('World Cup'!$B$14:$AJ$39,21,2+(CODE($B$1)-65)*3)=""),"",INDEX('World Cup'!$B$14:$AJ$39,21,2+(CODE($B$1)-65)*3))</f>
        <v/>
      </c>
      <c r="T26" s="582">
        <f t="shared" ref="T26:T27" si="42">IF(AND(P26&lt;&gt;"",Q26&lt;&gt;"",P26&lt;&gt;Q26,R26&lt;&gt;"",S26&lt;&gt;""),1,0)</f>
        <v>0</v>
      </c>
      <c r="U26" s="657">
        <f t="shared" ref="U26:U27" si="43">IF($T26=0,0,IF($R26&gt;$S26,3,IF($R26=$S26,1,0)))</f>
        <v>0</v>
      </c>
      <c r="V26" s="582">
        <f t="shared" ref="V26:V27" si="44">IF($T26=0,0,IF($R26&lt;$S26,3,IF($R26=$S26,1,0)))</f>
        <v>0</v>
      </c>
      <c r="W26" s="658">
        <f t="shared" ref="W26:W27" si="45">IF(OR(R26="",S26=""),0,R26-S26)</f>
        <v>0</v>
      </c>
      <c r="X26" s="659">
        <f t="shared" ref="X26:X27" si="46">IF(OR(R26="",S26=""),0,R26)</f>
        <v>0</v>
      </c>
      <c r="Y26" s="660">
        <f t="shared" ref="Y26:Y27" si="47">IF(OR(R26="",S26=""),0,S26)</f>
        <v>0</v>
      </c>
      <c r="Z26" s="661" t="str">
        <f t="shared" ref="Z26:Z27" si="48">P26&amp;Q26</f>
        <v>PanamaEngeland</v>
      </c>
      <c r="AA26" s="662" t="str">
        <f>IF($T26,$X26&amp;Language!$E$197&amp;$Y26,"")</f>
        <v/>
      </c>
      <c r="AE26" s="601"/>
      <c r="AF26" s="601"/>
      <c r="AG26" s="582"/>
      <c r="AH26" s="601"/>
      <c r="AI26" s="601"/>
      <c r="AJ26" s="601"/>
      <c r="AK26" s="653"/>
      <c r="AL26" s="601"/>
      <c r="AM26" s="601"/>
      <c r="AN26" s="601"/>
      <c r="AO26" s="601"/>
      <c r="AZ26" s="602"/>
      <c r="BA26" s="601"/>
      <c r="BB26" s="601"/>
      <c r="BC26" s="601"/>
      <c r="BD26" s="602"/>
      <c r="BE26" s="620"/>
      <c r="BF26" s="620"/>
      <c r="BG26" s="620"/>
      <c r="BH26" s="620"/>
      <c r="BI26" s="624"/>
      <c r="BJ26" s="624"/>
      <c r="BL26" s="602"/>
      <c r="BM26" s="602"/>
      <c r="BN26" s="602"/>
      <c r="BO26" s="602"/>
      <c r="BP26" s="602"/>
      <c r="BQ26" s="602"/>
      <c r="BR26" s="602"/>
      <c r="BS26" s="624"/>
      <c r="BT26" s="624"/>
      <c r="BU26" s="624"/>
      <c r="BV26" s="624"/>
    </row>
    <row r="27" spans="3:86" s="580" customFormat="1" ht="12" thickBot="1">
      <c r="C27" s="582"/>
      <c r="D27" s="664"/>
      <c r="E27" s="664"/>
      <c r="F27" s="582"/>
      <c r="G27" s="582"/>
      <c r="H27" s="630"/>
      <c r="O27" s="665" t="s">
        <v>1111</v>
      </c>
      <c r="P27" s="684" t="str">
        <f>INDEX('World Cup'!$B$13:$AJ$38,26,1+(CODE($B$1)-65)*3)</f>
        <v>Kroatië</v>
      </c>
      <c r="Q27" s="685" t="str">
        <f>INDEX('World Cup'!$B$13:$AJ$38,26,2+(CODE($B$1)-65)*3)</f>
        <v>Ghana</v>
      </c>
      <c r="R27" s="685" t="str">
        <f>IF(OR(INDEX('World Cup'!$B$14:$AJ$39,26,1+(CODE($B$1)-65)*3)="",INDEX('World Cup'!$B$14:$AJ$39,26,2+(CODE($B$1)-65)*3)=""),"",INDEX('World Cup'!$B$14:$AJ$39,26,1+(CODE($B$1)-65)*3))</f>
        <v/>
      </c>
      <c r="S27" s="686" t="str">
        <f>IF(OR(INDEX('World Cup'!$B$14:$AJ$39,26,1+(CODE($B$1)-65)*3)="",INDEX('World Cup'!$B$14:$AJ$39,26,2+(CODE($B$1)-65)*3)=""),"",INDEX('World Cup'!$B$14:$AJ$39,26,2+(CODE($B$1)-65)*3))</f>
        <v/>
      </c>
      <c r="T27" s="667">
        <f t="shared" si="42"/>
        <v>0</v>
      </c>
      <c r="U27" s="668">
        <f t="shared" si="43"/>
        <v>0</v>
      </c>
      <c r="V27" s="667">
        <f t="shared" si="44"/>
        <v>0</v>
      </c>
      <c r="W27" s="669">
        <f t="shared" si="45"/>
        <v>0</v>
      </c>
      <c r="X27" s="670">
        <f t="shared" si="46"/>
        <v>0</v>
      </c>
      <c r="Y27" s="671">
        <f t="shared" si="47"/>
        <v>0</v>
      </c>
      <c r="Z27" s="672" t="str">
        <f t="shared" si="48"/>
        <v>KroatiëGhana</v>
      </c>
      <c r="AA27" s="673" t="str">
        <f>IF($T27,$X27&amp;Language!$E$197&amp;$Y27,"")</f>
        <v/>
      </c>
      <c r="AE27" s="601"/>
      <c r="AF27" s="601"/>
      <c r="AG27" s="582"/>
      <c r="AH27" s="601"/>
      <c r="AI27" s="601"/>
      <c r="AJ27" s="601"/>
      <c r="AK27" s="653"/>
      <c r="AL27" s="601"/>
      <c r="AM27" s="601"/>
      <c r="AN27" s="601"/>
      <c r="AO27" s="601"/>
      <c r="AZ27" s="602"/>
      <c r="BA27" s="601"/>
      <c r="BB27" s="601"/>
      <c r="BC27" s="601"/>
      <c r="BD27" s="602"/>
      <c r="BE27" s="624"/>
      <c r="BF27" s="624"/>
      <c r="BG27" s="624"/>
      <c r="BH27" s="624"/>
      <c r="BI27" s="624"/>
      <c r="BJ27" s="624"/>
      <c r="BL27" s="602"/>
      <c r="BM27" s="602"/>
      <c r="BN27" s="602"/>
      <c r="BO27" s="602"/>
      <c r="BP27" s="602"/>
      <c r="BQ27" s="602"/>
      <c r="BR27" s="602"/>
      <c r="BS27" s="624"/>
      <c r="BT27" s="624"/>
      <c r="BU27" s="624"/>
      <c r="BV27" s="624"/>
    </row>
    <row r="28" spans="3:86" s="580" customFormat="1" ht="12" thickTop="1">
      <c r="C28" s="582"/>
      <c r="D28" s="664"/>
      <c r="E28" s="664"/>
      <c r="F28" s="582"/>
      <c r="G28" s="582"/>
      <c r="H28" s="630"/>
      <c r="O28" s="643" t="s">
        <v>26</v>
      </c>
      <c r="P28" s="644"/>
      <c r="Q28" s="645"/>
      <c r="R28" s="645"/>
      <c r="S28" s="645"/>
      <c r="T28" s="645"/>
      <c r="U28" s="645"/>
      <c r="V28" s="645"/>
      <c r="W28" s="645"/>
      <c r="X28" s="645"/>
      <c r="Y28" s="674"/>
      <c r="Z28" s="661" t="str">
        <f t="shared" ref="Z28:Z33" si="49">Q22&amp;P22</f>
        <v>KroatiëEngeland</v>
      </c>
      <c r="AA28" s="662" t="str">
        <f>IF($T22,$Y22&amp;Language!$E$197&amp;$X22,"")</f>
        <v/>
      </c>
      <c r="AE28" s="601"/>
      <c r="AF28" s="601"/>
      <c r="AG28" s="582"/>
      <c r="AH28" s="601"/>
      <c r="AI28" s="601"/>
      <c r="AJ28" s="601"/>
      <c r="AK28" s="653"/>
      <c r="AL28" s="601"/>
      <c r="AM28" s="601"/>
      <c r="AN28" s="601"/>
      <c r="AO28" s="601"/>
      <c r="AZ28" s="602"/>
      <c r="BA28" s="601"/>
      <c r="BB28" s="601"/>
      <c r="BC28" s="601"/>
      <c r="BD28" s="602"/>
      <c r="BE28" s="624"/>
      <c r="BF28" s="624"/>
      <c r="BG28" s="624"/>
      <c r="BH28" s="624"/>
      <c r="BI28" s="624"/>
      <c r="BJ28" s="624"/>
      <c r="BL28" s="602"/>
      <c r="BM28" s="602"/>
      <c r="BN28" s="602"/>
      <c r="BO28" s="602"/>
      <c r="BP28" s="602"/>
      <c r="BQ28" s="602"/>
      <c r="BR28" s="602"/>
      <c r="BS28" s="624"/>
      <c r="BT28" s="624"/>
      <c r="BU28" s="624"/>
      <c r="BV28" s="624"/>
    </row>
    <row r="29" spans="3:86" s="580" customFormat="1">
      <c r="C29" s="582"/>
      <c r="D29" s="664"/>
      <c r="E29" s="664"/>
      <c r="F29" s="582"/>
      <c r="G29" s="582"/>
      <c r="H29" s="630"/>
      <c r="O29" s="655" t="s">
        <v>27</v>
      </c>
      <c r="P29" s="656"/>
      <c r="Q29" s="582"/>
      <c r="R29" s="582"/>
      <c r="S29" s="582"/>
      <c r="T29" s="582"/>
      <c r="U29" s="582"/>
      <c r="V29" s="582"/>
      <c r="W29" s="582"/>
      <c r="X29" s="582"/>
      <c r="Y29" s="660"/>
      <c r="Z29" s="661" t="str">
        <f t="shared" si="49"/>
        <v>PanamaGhana</v>
      </c>
      <c r="AA29" s="662" t="str">
        <f>IF($T23,$Y23&amp;Language!$E$197&amp;$X23,"")</f>
        <v/>
      </c>
      <c r="AE29" s="601"/>
      <c r="AF29" s="601"/>
      <c r="AG29" s="582"/>
      <c r="AH29" s="601"/>
      <c r="AI29" s="601"/>
      <c r="AJ29" s="601"/>
      <c r="AK29" s="653"/>
      <c r="AL29" s="601"/>
      <c r="AM29" s="601"/>
      <c r="AN29" s="601"/>
      <c r="AO29" s="601"/>
      <c r="BI29" s="624"/>
      <c r="BJ29" s="624"/>
      <c r="BL29" s="602"/>
      <c r="BM29" s="602"/>
    </row>
    <row r="30" spans="3:86" s="580" customFormat="1">
      <c r="C30" s="582"/>
      <c r="D30" s="664"/>
      <c r="E30" s="664"/>
      <c r="F30" s="582"/>
      <c r="G30" s="582"/>
      <c r="H30" s="630"/>
      <c r="O30" s="655" t="s">
        <v>28</v>
      </c>
      <c r="P30" s="656"/>
      <c r="Q30" s="582"/>
      <c r="R30" s="582"/>
      <c r="S30" s="582"/>
      <c r="T30" s="582"/>
      <c r="U30" s="582"/>
      <c r="V30" s="582"/>
      <c r="W30" s="582"/>
      <c r="X30" s="582"/>
      <c r="Y30" s="660"/>
      <c r="Z30" s="661" t="str">
        <f t="shared" si="49"/>
        <v>GhanaEngeland</v>
      </c>
      <c r="AA30" s="662" t="str">
        <f>IF($T24,$Y24&amp;Language!$E$197&amp;$X24,"")</f>
        <v/>
      </c>
      <c r="AE30" s="601"/>
      <c r="AF30" s="601"/>
      <c r="AG30" s="582"/>
      <c r="AH30" s="601"/>
      <c r="AI30" s="601"/>
      <c r="AJ30" s="601"/>
      <c r="AK30" s="653"/>
      <c r="AL30" s="601"/>
      <c r="AM30" s="601"/>
      <c r="AN30" s="601"/>
      <c r="AO30" s="601"/>
      <c r="BI30" s="624"/>
      <c r="BJ30" s="624"/>
      <c r="BL30" s="602"/>
      <c r="BM30" s="602"/>
    </row>
    <row r="31" spans="3:86" s="580" customFormat="1">
      <c r="D31" s="582"/>
      <c r="E31" s="582"/>
      <c r="F31" s="582"/>
      <c r="G31" s="582"/>
      <c r="H31" s="630"/>
      <c r="O31" s="655" t="s">
        <v>29</v>
      </c>
      <c r="P31" s="656"/>
      <c r="Q31" s="582"/>
      <c r="R31" s="582"/>
      <c r="S31" s="582"/>
      <c r="T31" s="582"/>
      <c r="U31" s="582"/>
      <c r="V31" s="582"/>
      <c r="W31" s="582"/>
      <c r="X31" s="582"/>
      <c r="Y31" s="660"/>
      <c r="Z31" s="661" t="str">
        <f t="shared" si="49"/>
        <v>KroatiëPanama</v>
      </c>
      <c r="AA31" s="662" t="str">
        <f>IF($T25,$Y25&amp;Language!$E$197&amp;$X25,"")</f>
        <v/>
      </c>
      <c r="AE31" s="602"/>
      <c r="AF31" s="602"/>
      <c r="AG31" s="582"/>
      <c r="AH31" s="602"/>
      <c r="AI31" s="602"/>
      <c r="AJ31" s="602"/>
      <c r="AK31" s="602"/>
      <c r="AL31" s="602"/>
      <c r="AM31" s="602"/>
      <c r="AN31" s="602"/>
      <c r="AO31" s="602"/>
    </row>
    <row r="32" spans="3:86" s="580" customFormat="1">
      <c r="D32" s="582"/>
      <c r="E32" s="582"/>
      <c r="F32" s="582"/>
      <c r="G32" s="582"/>
      <c r="H32" s="630"/>
      <c r="O32" s="655" t="s">
        <v>1110</v>
      </c>
      <c r="P32" s="656"/>
      <c r="Q32" s="582"/>
      <c r="R32" s="582"/>
      <c r="S32" s="582"/>
      <c r="T32" s="582"/>
      <c r="U32" s="582"/>
      <c r="V32" s="582"/>
      <c r="W32" s="582"/>
      <c r="X32" s="582"/>
      <c r="Y32" s="660"/>
      <c r="Z32" s="661" t="str">
        <f t="shared" si="49"/>
        <v>EngelandPanama</v>
      </c>
      <c r="AA32" s="662" t="str">
        <f>IF($T26,$Y26&amp;Language!$E$197&amp;$X26,"")</f>
        <v/>
      </c>
      <c r="AE32" s="602"/>
      <c r="AF32" s="602"/>
      <c r="AH32" s="602"/>
      <c r="AI32" s="602"/>
      <c r="AJ32" s="602"/>
      <c r="AK32" s="602"/>
      <c r="AL32" s="602"/>
      <c r="AM32" s="602"/>
      <c r="AN32" s="602"/>
      <c r="AO32" s="602"/>
    </row>
    <row r="33" spans="4:41" s="580" customFormat="1" ht="12" thickBot="1">
      <c r="D33" s="582"/>
      <c r="E33" s="582"/>
      <c r="F33" s="582"/>
      <c r="G33" s="582"/>
      <c r="H33" s="582"/>
      <c r="O33" s="665" t="s">
        <v>1111</v>
      </c>
      <c r="P33" s="666"/>
      <c r="Q33" s="667"/>
      <c r="R33" s="667"/>
      <c r="S33" s="667"/>
      <c r="T33" s="667"/>
      <c r="U33" s="667"/>
      <c r="V33" s="667"/>
      <c r="W33" s="667"/>
      <c r="X33" s="667"/>
      <c r="Y33" s="671"/>
      <c r="Z33" s="672" t="str">
        <f t="shared" si="49"/>
        <v>GhanaKroatië</v>
      </c>
      <c r="AA33" s="673" t="str">
        <f>IF($T27,$Y27&amp;Language!$E$197&amp;$X27,"")</f>
        <v/>
      </c>
      <c r="AE33" s="601"/>
      <c r="AF33" s="601"/>
      <c r="AH33" s="601"/>
      <c r="AI33" s="601"/>
      <c r="AJ33" s="601"/>
      <c r="AK33" s="653"/>
      <c r="AL33" s="601"/>
      <c r="AM33" s="601"/>
      <c r="AN33" s="601"/>
      <c r="AO33" s="601"/>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4.5" zeroHeight="1"/>
  <cols>
    <col min="1" max="1" width="11.453125" customWidth="1"/>
    <col min="2" max="3" width="16.7265625" customWidth="1"/>
    <col min="4" max="4" width="11.453125" customWidth="1"/>
    <col min="5" max="6" width="16.7265625" customWidth="1"/>
    <col min="7" max="7" width="11.453125" customWidth="1"/>
    <col min="8" max="9" width="16.7265625" customWidth="1"/>
    <col min="10" max="10" width="11.453125" customWidth="1"/>
    <col min="11" max="16384" width="11.453125" hidden="1"/>
  </cols>
  <sheetData>
    <row r="1" spans="1:9"/>
    <row r="2" spans="1:9" ht="38.25" customHeight="1">
      <c r="B2" s="840" t="str">
        <f>Language!$E$123</f>
        <v>Fair-Play</v>
      </c>
      <c r="C2" s="841"/>
      <c r="D2" s="841"/>
      <c r="E2" s="841"/>
      <c r="F2" s="841"/>
    </row>
    <row r="3" spans="1:9" ht="75.75" customHeight="1">
      <c r="B3" s="842" t="str">
        <f>Language!$E$193</f>
        <v>Hier kunnen de strafpunten voor de fair play-beoordeling worden ingevoerd.</v>
      </c>
      <c r="C3" s="842"/>
      <c r="D3" s="842"/>
      <c r="E3" s="842"/>
      <c r="F3" s="842"/>
    </row>
    <row r="4" spans="1:9" ht="18" customHeight="1">
      <c r="B4" s="53"/>
      <c r="C4" s="53"/>
      <c r="D4" s="53"/>
      <c r="E4" s="53"/>
      <c r="F4" s="53"/>
    </row>
    <row r="5" spans="1:9" ht="19" thickBot="1">
      <c r="A5" s="180" t="s">
        <v>24</v>
      </c>
      <c r="B5" s="337" t="str">
        <f>Language!$E$130&amp;" "&amp;A5</f>
        <v>Groep A</v>
      </c>
      <c r="C5" s="759" t="str">
        <f>Language!$E$174</f>
        <v>Beoordeling</v>
      </c>
      <c r="D5" s="180" t="s">
        <v>22</v>
      </c>
      <c r="E5" s="337" t="str">
        <f>Language!$E$130&amp;" "&amp;D5</f>
        <v>Groep E</v>
      </c>
      <c r="F5" s="759" t="str">
        <f>Language!$E$174</f>
        <v>Beoordeling</v>
      </c>
      <c r="G5" s="180" t="s">
        <v>32</v>
      </c>
      <c r="H5" s="337" t="str">
        <f>Language!$E$130&amp;" "&amp;G5</f>
        <v>Groep I</v>
      </c>
      <c r="I5" s="759" t="str">
        <f>Language!$E$174</f>
        <v>Beoordeling</v>
      </c>
    </row>
    <row r="6" spans="1:9">
      <c r="B6" s="23" t="str">
        <f>VLOOKUP(A5&amp;"1",Groups!$B$7:$D$65,3,0)</f>
        <v>Mexico</v>
      </c>
      <c r="C6" s="54">
        <v>0</v>
      </c>
      <c r="E6" s="23" t="str">
        <f>VLOOKUP(D5&amp;"1",Groups!$B$7:$D$65,3,0)</f>
        <v>Duitsland</v>
      </c>
      <c r="F6" s="54">
        <v>0</v>
      </c>
      <c r="H6" s="23" t="str">
        <f>VLOOKUP(G5&amp;"1",Groups!$B$7:$D$65,3,0)</f>
        <v>Frankrijk</v>
      </c>
      <c r="I6" s="54">
        <v>0</v>
      </c>
    </row>
    <row r="7" spans="1:9">
      <c r="B7" s="23" t="str">
        <f>VLOOKUP(A5&amp;"2",Groups!$B$7:$D$65,3,0)</f>
        <v>Zuid-Afrika</v>
      </c>
      <c r="C7" s="55">
        <v>0</v>
      </c>
      <c r="E7" s="23" t="str">
        <f>VLOOKUP(D5&amp;"2",Groups!$B$7:$D$65,3,0)</f>
        <v>Curacao</v>
      </c>
      <c r="F7" s="55">
        <v>0</v>
      </c>
      <c r="H7" s="23" t="str">
        <f>VLOOKUP(G5&amp;"2",Groups!$B$7:$D$65,3,0)</f>
        <v>Senegal</v>
      </c>
      <c r="I7" s="55">
        <v>0</v>
      </c>
    </row>
    <row r="8" spans="1:9">
      <c r="B8" s="23" t="str">
        <f>VLOOKUP(A5&amp;"3",Groups!$B$7:$D$65,3,0)</f>
        <v>Rep. Korea</v>
      </c>
      <c r="C8" s="55">
        <v>0</v>
      </c>
      <c r="E8" s="23" t="str">
        <f>VLOOKUP(D5&amp;"3",Groups!$B$7:$D$65,3,0)</f>
        <v>Ivoorkust</v>
      </c>
      <c r="F8" s="55">
        <v>0</v>
      </c>
      <c r="H8" s="23" t="str">
        <f>VLOOKUP(G5&amp;"3",Groups!$B$7:$D$65,3,0)</f>
        <v>Irak</v>
      </c>
      <c r="I8" s="55">
        <v>0</v>
      </c>
    </row>
    <row r="9" spans="1:9">
      <c r="B9" s="23" t="str">
        <f>VLOOKUP(A5&amp;"4",Groups!$B$7:$D$65,3,0)</f>
        <v>Tsjechië</v>
      </c>
      <c r="C9" s="55">
        <v>0</v>
      </c>
      <c r="E9" s="23" t="str">
        <f>VLOOKUP(D5&amp;"4",Groups!$B$7:$D$65,3,0)</f>
        <v>Ecuador</v>
      </c>
      <c r="F9" s="55">
        <v>0</v>
      </c>
      <c r="H9" s="23" t="str">
        <f>VLOOKUP(G5&amp;"4",Groups!$B$7:$D$65,3,0)</f>
        <v>Noorwegen</v>
      </c>
      <c r="I9" s="55">
        <v>0</v>
      </c>
    </row>
    <row r="10" spans="1:9">
      <c r="C10" s="22"/>
      <c r="F10" s="22"/>
      <c r="I10" s="22"/>
    </row>
    <row r="11" spans="1:9" ht="19" thickBot="1">
      <c r="A11" s="180" t="s">
        <v>20</v>
      </c>
      <c r="B11" s="337" t="str">
        <f>Language!$E$130&amp;" "&amp;A11</f>
        <v>Groep B</v>
      </c>
      <c r="C11" s="759" t="str">
        <f>Language!$E$174</f>
        <v>Beoordeling</v>
      </c>
      <c r="D11" s="180" t="s">
        <v>23</v>
      </c>
      <c r="E11" s="337" t="str">
        <f>Language!$E$130&amp;" "&amp;D11</f>
        <v>Groep F</v>
      </c>
      <c r="F11" s="759" t="str">
        <f>Language!$E$174</f>
        <v>Beoordeling</v>
      </c>
      <c r="G11" s="180" t="s">
        <v>841</v>
      </c>
      <c r="H11" s="337" t="str">
        <f>Language!$E$130&amp;" "&amp;G11</f>
        <v>Groep J</v>
      </c>
      <c r="I11" s="759" t="str">
        <f>Language!$E$174</f>
        <v>Beoordeling</v>
      </c>
    </row>
    <row r="12" spans="1:9">
      <c r="B12" s="23" t="str">
        <f>VLOOKUP(A11&amp;"1",Groups!$B$7:$D$65,3,0)</f>
        <v>Canada</v>
      </c>
      <c r="C12" s="54">
        <v>0</v>
      </c>
      <c r="E12" s="23" t="str">
        <f>VLOOKUP(D11&amp;"1",Groups!$B$7:$D$65,3,0)</f>
        <v>Nederland</v>
      </c>
      <c r="F12" s="54">
        <v>0</v>
      </c>
      <c r="H12" s="23" t="str">
        <f>VLOOKUP(G11&amp;"1",Groups!$B$7:$D$65,3,0)</f>
        <v>Argentinië</v>
      </c>
      <c r="I12" s="54">
        <v>0</v>
      </c>
    </row>
    <row r="13" spans="1:9">
      <c r="B13" s="23" t="str">
        <f>VLOOKUP(A11&amp;"2",Groups!$B$7:$D$65,3,0)</f>
        <v>Bosnië/Herzeg.</v>
      </c>
      <c r="C13" s="55">
        <v>0</v>
      </c>
      <c r="E13" s="23" t="str">
        <f>VLOOKUP(D11&amp;"2",Groups!$B$7:$D$65,3,0)</f>
        <v>Japan</v>
      </c>
      <c r="F13" s="55">
        <v>0</v>
      </c>
      <c r="H13" s="23" t="str">
        <f>VLOOKUP(G11&amp;"2",Groups!$B$7:$D$65,3,0)</f>
        <v>Algerije</v>
      </c>
      <c r="I13" s="55">
        <v>0</v>
      </c>
    </row>
    <row r="14" spans="1:9">
      <c r="B14" s="23" t="str">
        <f>VLOOKUP(A11&amp;"3",Groups!$B$7:$D$65,3,0)</f>
        <v>Qatar</v>
      </c>
      <c r="C14" s="55">
        <v>0</v>
      </c>
      <c r="E14" s="23" t="str">
        <f>VLOOKUP(D11&amp;"3",Groups!$B$7:$D$65,3,0)</f>
        <v>Zweden</v>
      </c>
      <c r="F14" s="55">
        <v>0</v>
      </c>
      <c r="H14" s="23" t="str">
        <f>VLOOKUP(G11&amp;"3",Groups!$B$7:$D$65,3,0)</f>
        <v>Oostenrijk</v>
      </c>
      <c r="I14" s="55">
        <v>0</v>
      </c>
    </row>
    <row r="15" spans="1:9">
      <c r="B15" s="23" t="str">
        <f>VLOOKUP(A11&amp;"4",Groups!$B$7:$D$65,3,0)</f>
        <v>Zwitserland</v>
      </c>
      <c r="C15" s="55">
        <v>0</v>
      </c>
      <c r="E15" s="23" t="str">
        <f>VLOOKUP(D11&amp;"4",Groups!$B$7:$D$65,3,0)</f>
        <v>Tunesië</v>
      </c>
      <c r="F15" s="55">
        <v>0</v>
      </c>
      <c r="H15" s="23" t="str">
        <f>VLOOKUP(G11&amp;"4",Groups!$B$7:$D$65,3,0)</f>
        <v>Jordanië</v>
      </c>
      <c r="I15" s="55">
        <v>0</v>
      </c>
    </row>
    <row r="16" spans="1:9">
      <c r="C16" s="22"/>
      <c r="F16" s="22"/>
      <c r="I16" s="22"/>
    </row>
    <row r="17" spans="1:9" ht="19" thickBot="1">
      <c r="A17" s="180" t="s">
        <v>21</v>
      </c>
      <c r="B17" s="337" t="str">
        <f>Language!$E$130&amp;" "&amp;A17</f>
        <v>Groep C</v>
      </c>
      <c r="C17" s="759" t="str">
        <f>Language!$E$174</f>
        <v>Beoordeling</v>
      </c>
      <c r="D17" s="180" t="s">
        <v>272</v>
      </c>
      <c r="E17" s="337" t="str">
        <f>Language!$E$130&amp;" "&amp;D17</f>
        <v>Groep G</v>
      </c>
      <c r="F17" s="759" t="str">
        <f>Language!$E$174</f>
        <v>Beoordeling</v>
      </c>
      <c r="G17" s="180" t="s">
        <v>33</v>
      </c>
      <c r="H17" s="337" t="str">
        <f>Language!$E$130&amp;" "&amp;G17</f>
        <v>Groep K</v>
      </c>
      <c r="I17" s="759" t="str">
        <f>Language!$E$174</f>
        <v>Beoordeling</v>
      </c>
    </row>
    <row r="18" spans="1:9">
      <c r="B18" s="23" t="str">
        <f>VLOOKUP(A17&amp;"1",Groups!$B$7:$D$65,3,0)</f>
        <v>Brazilië</v>
      </c>
      <c r="C18" s="54">
        <v>0</v>
      </c>
      <c r="E18" s="23" t="str">
        <f>VLOOKUP(D17&amp;"1",Groups!$B$7:$D$65,3,0)</f>
        <v>België</v>
      </c>
      <c r="F18" s="54">
        <v>0</v>
      </c>
      <c r="H18" s="23" t="str">
        <f>VLOOKUP(G17&amp;"1",Groups!$B$7:$D$65,3,0)</f>
        <v>Portugal</v>
      </c>
      <c r="I18" s="54">
        <v>0</v>
      </c>
    </row>
    <row r="19" spans="1:9">
      <c r="B19" s="23" t="str">
        <f>VLOOKUP(A17&amp;"2",Groups!$B$7:$D$65,3,0)</f>
        <v>Marokko</v>
      </c>
      <c r="C19" s="55">
        <v>0</v>
      </c>
      <c r="E19" s="23" t="str">
        <f>VLOOKUP(D17&amp;"2",Groups!$B$7:$D$65,3,0)</f>
        <v>Egypte</v>
      </c>
      <c r="F19" s="55">
        <v>0</v>
      </c>
      <c r="H19" s="23" t="str">
        <f>VLOOKUP(G17&amp;"2",Groups!$B$7:$D$65,3,0)</f>
        <v>DR Congo</v>
      </c>
      <c r="I19" s="55">
        <v>0</v>
      </c>
    </row>
    <row r="20" spans="1:9">
      <c r="B20" s="23" t="str">
        <f>VLOOKUP(A17&amp;"3",Groups!$B$7:$D$65,3,0)</f>
        <v>Haïti</v>
      </c>
      <c r="C20" s="55">
        <v>0</v>
      </c>
      <c r="E20" s="23" t="str">
        <f>VLOOKUP(D17&amp;"3",Groups!$B$7:$D$65,3,0)</f>
        <v>IR Iran</v>
      </c>
      <c r="F20" s="55">
        <v>0</v>
      </c>
      <c r="H20" s="23" t="str">
        <f>VLOOKUP(G17&amp;"3",Groups!$B$7:$D$65,3,0)</f>
        <v>Oezbekistan</v>
      </c>
      <c r="I20" s="55">
        <v>0</v>
      </c>
    </row>
    <row r="21" spans="1:9">
      <c r="B21" s="23" t="str">
        <f>VLOOKUP(A17&amp;"4",Groups!$B$7:$D$65,3,0)</f>
        <v>Schotland</v>
      </c>
      <c r="C21" s="55">
        <v>0</v>
      </c>
      <c r="E21" s="23" t="str">
        <f>VLOOKUP(D17&amp;"4",Groups!$B$7:$D$65,3,0)</f>
        <v>Nieuw-Zeeland</v>
      </c>
      <c r="F21" s="55">
        <v>0</v>
      </c>
      <c r="H21" s="23" t="str">
        <f>VLOOKUP(G17&amp;"4",Groups!$B$7:$D$65,3,0)</f>
        <v>Colombia</v>
      </c>
      <c r="I21" s="55">
        <v>0</v>
      </c>
    </row>
    <row r="22" spans="1:9">
      <c r="C22" s="22"/>
      <c r="F22" s="22"/>
      <c r="I22" s="22"/>
    </row>
    <row r="23" spans="1:9" ht="19" thickBot="1">
      <c r="A23" s="180" t="s">
        <v>25</v>
      </c>
      <c r="B23" s="337" t="str">
        <f>Language!$E$130&amp;" "&amp;A23</f>
        <v>Groep D</v>
      </c>
      <c r="C23" s="759" t="str">
        <f>Language!$E$174</f>
        <v>Beoordeling</v>
      </c>
      <c r="D23" s="180" t="s">
        <v>31</v>
      </c>
      <c r="E23" s="337" t="str">
        <f>Language!$E$130&amp;" "&amp;D23</f>
        <v>Groep H</v>
      </c>
      <c r="F23" s="759" t="str">
        <f>Language!$E$174</f>
        <v>Beoordeling</v>
      </c>
      <c r="G23" s="180" t="s">
        <v>34</v>
      </c>
      <c r="H23" s="337" t="str">
        <f>Language!$E$130&amp;" "&amp;G23</f>
        <v>Groep L</v>
      </c>
      <c r="I23" s="759" t="str">
        <f>Language!$E$174</f>
        <v>Beoordeling</v>
      </c>
    </row>
    <row r="24" spans="1:9">
      <c r="B24" s="23" t="str">
        <f>VLOOKUP(A23&amp;"1",Groups!$B$7:$D$65,3,0)</f>
        <v>USA</v>
      </c>
      <c r="C24" s="54">
        <v>0</v>
      </c>
      <c r="E24" s="23" t="str">
        <f>VLOOKUP(D23&amp;"1",Groups!$B$7:$D$65,3,0)</f>
        <v>Spanje</v>
      </c>
      <c r="F24" s="54">
        <v>0</v>
      </c>
      <c r="H24" s="23" t="str">
        <f>VLOOKUP(G23&amp;"1",Groups!$B$7:$D$65,3,0)</f>
        <v>Engeland</v>
      </c>
      <c r="I24" s="54">
        <v>0</v>
      </c>
    </row>
    <row r="25" spans="1:9">
      <c r="B25" s="23" t="str">
        <f>VLOOKUP(A23&amp;"2",Groups!$B$7:$D$65,3,0)</f>
        <v>Paraguay</v>
      </c>
      <c r="C25" s="55">
        <v>0</v>
      </c>
      <c r="E25" s="23" t="str">
        <f>VLOOKUP(D23&amp;"2",Groups!$B$7:$D$65,3,0)</f>
        <v>Kaapverdië</v>
      </c>
      <c r="F25" s="55">
        <v>0</v>
      </c>
      <c r="H25" s="23" t="str">
        <f>VLOOKUP(G23&amp;"2",Groups!$B$7:$D$65,3,0)</f>
        <v>Kroatië</v>
      </c>
      <c r="I25" s="55">
        <v>0</v>
      </c>
    </row>
    <row r="26" spans="1:9">
      <c r="B26" s="23" t="str">
        <f>VLOOKUP(A23&amp;"3",Groups!$B$7:$D$65,3,0)</f>
        <v>Australië</v>
      </c>
      <c r="C26" s="55">
        <v>0</v>
      </c>
      <c r="E26" s="23" t="str">
        <f>VLOOKUP(D23&amp;"3",Groups!$B$7:$D$65,3,0)</f>
        <v>Saoedi-Arabië</v>
      </c>
      <c r="F26" s="55">
        <v>0</v>
      </c>
      <c r="H26" s="23" t="str">
        <f>VLOOKUP(G23&amp;"3",Groups!$B$7:$D$65,3,0)</f>
        <v>Ghana</v>
      </c>
      <c r="I26" s="55">
        <v>0</v>
      </c>
    </row>
    <row r="27" spans="1:9">
      <c r="B27" s="23" t="str">
        <f>VLOOKUP(A23&amp;"4",Groups!$B$7:$D$65,3,0)</f>
        <v>Turkije</v>
      </c>
      <c r="C27" s="55">
        <v>0</v>
      </c>
      <c r="E27" s="23" t="str">
        <f>VLOOKUP(D23&amp;"4",Groups!$B$7:$D$65,3,0)</f>
        <v>Uruguay</v>
      </c>
      <c r="F27" s="55">
        <v>0</v>
      </c>
      <c r="H27" s="23" t="str">
        <f>VLOOKUP(G23&amp;"4",Groups!$B$7:$D$65,3,0)</f>
        <v>Panama</v>
      </c>
      <c r="I27" s="55">
        <v>0</v>
      </c>
    </row>
    <row r="28" spans="1:9"/>
    <row r="29" spans="1:9"/>
    <row r="30" spans="1:9"/>
    <row r="31" spans="1:9"/>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4.5" zeroHeight="1"/>
  <cols>
    <col min="1" max="1" width="2.7265625" customWidth="1"/>
    <col min="2" max="2" width="5.1796875" customWidth="1"/>
    <col min="3" max="3" width="1.453125" customWidth="1"/>
    <col min="4" max="4" width="14.26953125" customWidth="1"/>
    <col min="5" max="6" width="4.7265625" customWidth="1"/>
    <col min="7" max="7" width="3.7265625" customWidth="1"/>
    <col min="8" max="8" width="1.453125" customWidth="1"/>
    <col min="9" max="9" width="3.7265625" customWidth="1"/>
    <col min="10" max="13" width="6.7265625" customWidth="1"/>
    <col min="14" max="14" width="2.7265625" customWidth="1"/>
    <col min="15" max="15" width="14.26953125" customWidth="1"/>
    <col min="16" max="17" width="4.7265625" customWidth="1"/>
    <col min="18" max="18" width="3.7265625" style="148" customWidth="1"/>
    <col min="19" max="19" width="1.453125" customWidth="1"/>
    <col min="20" max="20" width="3.7265625" style="5" customWidth="1"/>
    <col min="21" max="24" width="6.7265625" customWidth="1"/>
    <col min="25" max="25" width="2.7265625" customWidth="1"/>
    <col min="26" max="26" width="14.26953125" customWidth="1"/>
    <col min="27" max="28" width="4.7265625" customWidth="1"/>
    <col min="29" max="29" width="3.7265625" customWidth="1"/>
    <col min="30" max="30" width="1.453125" customWidth="1"/>
    <col min="31" max="31" width="3.7265625" customWidth="1"/>
    <col min="32" max="35" width="6.7265625" customWidth="1"/>
    <col min="36" max="36" width="2.7265625" customWidth="1"/>
    <col min="37" max="37" width="14.26953125" customWidth="1"/>
    <col min="38" max="39" width="4.7265625" customWidth="1"/>
    <col min="40" max="40" width="3.7265625" customWidth="1"/>
    <col min="41" max="41" width="1.453125" customWidth="1"/>
    <col min="42" max="42" width="3.7265625" customWidth="1"/>
    <col min="43" max="46" width="6.7265625" customWidth="1"/>
    <col min="47" max="47" width="2.7265625" customWidth="1"/>
    <col min="48" max="49" width="5.7265625" customWidth="1"/>
    <col min="50" max="50" width="2.7265625" customWidth="1"/>
    <col min="51" max="16384" width="11.453125" hidden="1"/>
  </cols>
  <sheetData>
    <row r="1" spans="2:49" ht="34.5" customHeight="1">
      <c r="C1" s="726"/>
      <c r="D1" s="760" t="str">
        <f>Language!$E$122</f>
        <v>Onderscheidend vergelijk</v>
      </c>
    </row>
    <row r="2" spans="2:49"/>
    <row r="3" spans="2:49" ht="18.5">
      <c r="D3" s="751" t="str">
        <f>Language!$E$140</f>
        <v>Overzichtstabel</v>
      </c>
      <c r="O3" s="751" t="str">
        <f>Language!$E$137</f>
        <v>onderlinge resultaten 1</v>
      </c>
      <c r="Z3" s="751" t="str">
        <f>Language!$E$138</f>
        <v>onderlinge resultaten 2</v>
      </c>
      <c r="AK3" s="751" t="str">
        <f>Language!$E$139</f>
        <v>onderlinge resultaten 3</v>
      </c>
    </row>
    <row r="4" spans="2:49" ht="15" thickBot="1">
      <c r="D4" s="342">
        <v>7</v>
      </c>
      <c r="Z4" s="780" t="str">
        <f>IF(COUNTBLANK(CalcA!$BN$14:$BN$17)&lt;4,Language!$E$136,"")</f>
        <v/>
      </c>
      <c r="AK4" s="780" t="str">
        <f>IF(COUNTBLANK(CalcA!$BZ$14:$BZ$17)&lt;4,Language!$E$136,"")</f>
        <v/>
      </c>
    </row>
    <row r="5" spans="2:49" ht="24.5" thickTop="1">
      <c r="B5" s="755" t="s">
        <v>24</v>
      </c>
      <c r="C5" s="728"/>
      <c r="D5" s="739"/>
      <c r="E5" s="750" t="str">
        <f>Language!$E$131</f>
        <v>Ptn.</v>
      </c>
      <c r="F5" s="750" t="str">
        <f>Language!$E$132</f>
        <v>DS</v>
      </c>
      <c r="G5" s="843" t="str">
        <f>Language!$E$133</f>
        <v>Doelpunten</v>
      </c>
      <c r="H5" s="844"/>
      <c r="I5" s="844"/>
      <c r="J5" s="742" t="str">
        <f t="array" ref="J5:M5">LEFT(CalcA!$H$21:$K$21,$D$4)</f>
        <v>Mexico</v>
      </c>
      <c r="K5" s="740" t="str">
        <v>Zuid-Af</v>
      </c>
      <c r="L5" s="740" t="str">
        <v>Rep. Ko</v>
      </c>
      <c r="M5" s="741" t="str">
        <v>Tsjechi</v>
      </c>
      <c r="O5" s="739"/>
      <c r="P5" s="750" t="str">
        <f>Language!$E$131</f>
        <v>Ptn.</v>
      </c>
      <c r="Q5" s="750" t="str">
        <f>Language!$E$132</f>
        <v>DS</v>
      </c>
      <c r="R5" s="843" t="str">
        <f>Language!$E$133</f>
        <v>Doelpunten</v>
      </c>
      <c r="S5" s="844"/>
      <c r="T5" s="844"/>
      <c r="U5" s="742" t="str">
        <f t="array" ref="U5:X5">LEFT(CalcA!$BE$13:$BH$13,$D$4)</f>
        <v>Mexico</v>
      </c>
      <c r="V5" s="740" t="str">
        <v>Zuid-Af</v>
      </c>
      <c r="W5" s="740" t="str">
        <v>Rep. Ko</v>
      </c>
      <c r="X5" s="741" t="str">
        <v>Tsjechi</v>
      </c>
      <c r="Z5" s="739"/>
      <c r="AA5" s="750" t="str">
        <f>Language!$E$131</f>
        <v>Ptn.</v>
      </c>
      <c r="AB5" s="750" t="str">
        <f>Language!$E$132</f>
        <v>DS</v>
      </c>
      <c r="AC5" s="843" t="str">
        <f>Language!$E$133</f>
        <v>Doelpunten</v>
      </c>
      <c r="AD5" s="844"/>
      <c r="AE5" s="844"/>
      <c r="AF5" s="742" t="str">
        <f t="array" ref="AF5:AI5">IF(COUNTBLANK(CalcA!$AZ$22:$AZ$25)&lt;4,LEFT(CalcA!$BE$21:$BH$21,$D$4),LEFT(CalcA!$BS$13:$BV$13,$D$4))</f>
        <v/>
      </c>
      <c r="AG5" s="740" t="str">
        <v/>
      </c>
      <c r="AH5" s="740" t="str">
        <v/>
      </c>
      <c r="AI5" s="741" t="str">
        <v/>
      </c>
      <c r="AK5" s="739"/>
      <c r="AL5" s="750" t="str">
        <f>Language!$E$131</f>
        <v>Ptn.</v>
      </c>
      <c r="AM5" s="750" t="str">
        <f>Language!$E$132</f>
        <v>DS</v>
      </c>
      <c r="AN5" s="843" t="str">
        <f>Language!$E$133</f>
        <v>Doelpunten</v>
      </c>
      <c r="AO5" s="844"/>
      <c r="AP5" s="844"/>
      <c r="AQ5" s="742" t="str">
        <f t="array" ref="AQ5:AT5">LEFT(CalcA!$CE$13:$CH$13,$D$4)</f>
        <v/>
      </c>
      <c r="AR5" s="740" t="str">
        <v/>
      </c>
      <c r="AS5" s="740" t="str">
        <v/>
      </c>
      <c r="AT5" s="741" t="str">
        <v/>
      </c>
      <c r="AV5" s="762" t="str">
        <f>Language!$E$123</f>
        <v>Fair-Play</v>
      </c>
      <c r="AW5" s="763" t="str">
        <f>Language!$E$186</f>
        <v>FIFA-rank.</v>
      </c>
    </row>
    <row r="6" spans="2:49">
      <c r="B6" s="757" t="str">
        <f t="array" ref="B6:B9">IF(CalcA!$M$22:$M$25,"•","")</f>
        <v/>
      </c>
      <c r="D6" s="752" t="str">
        <f t="array" ref="D6:D9">CalcA!$D$22:$D$25</f>
        <v>Mexico</v>
      </c>
      <c r="E6" s="352">
        <f t="array" ref="E6:E9">CalcA!$E$22:$E$25</f>
        <v>0</v>
      </c>
      <c r="F6" s="352">
        <f>G6-I6</f>
        <v>0</v>
      </c>
      <c r="G6" s="737">
        <f t="array" ref="G6:G9">CalcA!$F$22:$F$25</f>
        <v>0</v>
      </c>
      <c r="H6" s="749" t="str">
        <f>Language!$E$197</f>
        <v xml:space="preserve"> : </v>
      </c>
      <c r="I6" s="746">
        <f t="array" ref="I6:I9">CalcA!$G$22:$G$25</f>
        <v>0</v>
      </c>
      <c r="J6" s="743" t="str">
        <f t="array" ref="J6:M9">CalcA!$H$22:$K$25</f>
        <v/>
      </c>
      <c r="K6" s="352" t="str">
        <v/>
      </c>
      <c r="L6" s="352" t="str">
        <v/>
      </c>
      <c r="M6" s="738" t="str">
        <v/>
      </c>
      <c r="O6" s="752" t="str">
        <f t="array" ref="O6:O9">CalcA!$AZ$14:$AZ$17</f>
        <v>Mexico</v>
      </c>
      <c r="P6" s="352">
        <f t="array" ref="P6:P9">CalcA!$BA$14:$BA$17</f>
        <v>0</v>
      </c>
      <c r="Q6" s="352">
        <f t="array" ref="Q6:Q9">CalcA!$BB$14:$BB$17</f>
        <v>0</v>
      </c>
      <c r="R6" s="737">
        <f t="array" ref="R6:R9">CalcA!$BC$14:$BC$17</f>
        <v>0</v>
      </c>
      <c r="S6" s="749" t="str">
        <f>Language!$E$197</f>
        <v xml:space="preserve"> : </v>
      </c>
      <c r="T6" s="746">
        <f>IF(O6="","",R6-Q6)</f>
        <v>0</v>
      </c>
      <c r="U6" s="743" t="str">
        <f t="array" ref="U6:X9">CalcA!$BE$14:$BH$17</f>
        <v/>
      </c>
      <c r="V6" s="352" t="str">
        <v/>
      </c>
      <c r="W6" s="352" t="str">
        <v/>
      </c>
      <c r="X6" s="738" t="str">
        <v/>
      </c>
      <c r="Z6" s="752" t="str">
        <f t="array" ref="Z6:Z9">IF(COUNTBLANK(CalcA!$AZ$22:$AZ$25)&lt;4,CalcA!$AZ$22:$AZ$25,CalcA!$BN$14:$BN$17)</f>
        <v/>
      </c>
      <c r="AA6" s="352" t="str">
        <f t="array" ref="AA6:AA9">IF(COUNTBLANK(CalcA!$AZ$22:$AZ$25)&lt;4,CalcA!$BA$22:$BA$25,CalcA!$BO$14:$BO$17)</f>
        <v/>
      </c>
      <c r="AB6" s="352" t="str">
        <f t="array" ref="AB6:AB9">IF(COUNTBLANK(CalcA!$AZ$22:$AZ$25)&lt;4,CalcA!$BB$22:$BB$25,CalcA!$BP$14:$BP$17)</f>
        <v/>
      </c>
      <c r="AC6" s="737" t="str">
        <f t="array" ref="AC6:AC9">IF(COUNTBLANK(CalcA!$AZ$22:$AZ$25)&lt;4,CalcA!$BC$22:$BC$25,CalcA!$BQ$14:$BQ$17)</f>
        <v/>
      </c>
      <c r="AD6" s="749" t="str">
        <f>Language!$E$197</f>
        <v xml:space="preserve"> : </v>
      </c>
      <c r="AE6" s="746" t="str">
        <f>IF(Z6="","",AC6-AB6)</f>
        <v/>
      </c>
      <c r="AF6" s="743" t="str">
        <f t="array" ref="AF6:AI9">IF(COUNTBLANK(CalcA!$AZ$22:$AZ$25)&lt;4,CalcA!$BE$22:$BH$25,CalcA!$BS$14:$BV$17)</f>
        <v/>
      </c>
      <c r="AG6" s="352" t="str">
        <v/>
      </c>
      <c r="AH6" s="352" t="str">
        <v/>
      </c>
      <c r="AI6" s="738" t="str">
        <v/>
      </c>
      <c r="AK6" s="752" t="str">
        <f t="array" ref="AK6:AK9">CalcA!$BZ$14:$BZ$17</f>
        <v/>
      </c>
      <c r="AL6" s="352" t="str">
        <f t="array" ref="AL6:AL9">CalcA!$CA$14:$CA$17</f>
        <v/>
      </c>
      <c r="AM6" s="352" t="str">
        <f t="array" ref="AM6:AM9">CalcA!$CB$14:$CB$17</f>
        <v/>
      </c>
      <c r="AN6" s="737" t="str">
        <f t="array" ref="AN6:AN9">CalcA!$CC$14:$CC$17</f>
        <v/>
      </c>
      <c r="AO6" s="749" t="str">
        <f>Language!$E$197</f>
        <v xml:space="preserve"> : </v>
      </c>
      <c r="AP6" s="746" t="str">
        <f t="shared" ref="AP6:AP9" si="0">IF(AK6="","",AN6-AM6)</f>
        <v/>
      </c>
      <c r="AQ6" s="743" t="str">
        <f t="array" ref="AQ6:AT9">CalcA!$CE$14:$CH$17</f>
        <v/>
      </c>
      <c r="AR6" s="352" t="str">
        <v/>
      </c>
      <c r="AS6" s="352" t="str">
        <v/>
      </c>
      <c r="AT6" s="738" t="str">
        <v/>
      </c>
      <c r="AV6" s="764">
        <f t="array" ref="AV6:AV9">VLOOKUP($D$6:$D$9,CalcA!$D$5:$P$8,13,0)</f>
        <v>0</v>
      </c>
      <c r="AW6" s="738">
        <f t="array" ref="AW6:AW9">VLOOKUP($D$6:$D$9,CalcA!$D$5:$Q$8,14,0)</f>
        <v>15</v>
      </c>
    </row>
    <row r="7" spans="2:49">
      <c r="B7" s="757" t="str">
        <v/>
      </c>
      <c r="D7" s="753" t="str">
        <v>Zuid-Afrika</v>
      </c>
      <c r="E7" s="198">
        <v>0</v>
      </c>
      <c r="F7" s="198">
        <f t="shared" ref="F7:F9" si="1">G7-I7</f>
        <v>0</v>
      </c>
      <c r="G7" s="733">
        <v>0</v>
      </c>
      <c r="H7" s="735" t="str">
        <f>Language!$E$197</f>
        <v xml:space="preserve"> : </v>
      </c>
      <c r="I7" s="747">
        <v>0</v>
      </c>
      <c r="J7" s="744" t="str">
        <v/>
      </c>
      <c r="K7" s="729" t="str">
        <v/>
      </c>
      <c r="L7" s="198" t="str">
        <v/>
      </c>
      <c r="M7" s="730" t="str">
        <v/>
      </c>
      <c r="O7" s="753" t="str">
        <v>Zuid-Afrika</v>
      </c>
      <c r="P7" s="198">
        <v>0</v>
      </c>
      <c r="Q7" s="198">
        <v>0</v>
      </c>
      <c r="R7" s="733">
        <v>0</v>
      </c>
      <c r="S7" s="735" t="str">
        <f>Language!$E$197</f>
        <v xml:space="preserve"> : </v>
      </c>
      <c r="T7" s="747">
        <f t="shared" ref="T7:T9" si="2">IF(O7="","",R7-Q7)</f>
        <v>0</v>
      </c>
      <c r="U7" s="744" t="str">
        <v/>
      </c>
      <c r="V7" s="729" t="str">
        <v/>
      </c>
      <c r="W7" s="198" t="str">
        <v/>
      </c>
      <c r="X7" s="730" t="str">
        <v/>
      </c>
      <c r="Z7" s="753" t="str">
        <v/>
      </c>
      <c r="AA7" s="198" t="str">
        <v/>
      </c>
      <c r="AB7" s="198" t="str">
        <v/>
      </c>
      <c r="AC7" s="733" t="str">
        <v/>
      </c>
      <c r="AD7" s="735" t="str">
        <f>Language!$E$197</f>
        <v xml:space="preserve"> : </v>
      </c>
      <c r="AE7" s="747" t="str">
        <f t="shared" ref="AE7:AE9" si="3">IF(Z7="","",AC7-AB7)</f>
        <v/>
      </c>
      <c r="AF7" s="744" t="str">
        <v/>
      </c>
      <c r="AG7" s="729" t="str">
        <v/>
      </c>
      <c r="AH7" s="198" t="str">
        <v/>
      </c>
      <c r="AI7" s="730" t="str">
        <v/>
      </c>
      <c r="AK7" s="753" t="str">
        <v/>
      </c>
      <c r="AL7" s="198" t="str">
        <v/>
      </c>
      <c r="AM7" s="198" t="str">
        <v/>
      </c>
      <c r="AN7" s="733" t="str">
        <v/>
      </c>
      <c r="AO7" s="735" t="str">
        <f>Language!$E$197</f>
        <v xml:space="preserve"> : </v>
      </c>
      <c r="AP7" s="747" t="str">
        <f t="shared" si="0"/>
        <v/>
      </c>
      <c r="AQ7" s="744" t="str">
        <v/>
      </c>
      <c r="AR7" s="729" t="str">
        <v/>
      </c>
      <c r="AS7" s="198" t="str">
        <v/>
      </c>
      <c r="AT7" s="730" t="str">
        <v/>
      </c>
      <c r="AV7" s="765">
        <v>0</v>
      </c>
      <c r="AW7" s="730">
        <v>60</v>
      </c>
    </row>
    <row r="8" spans="2:49">
      <c r="B8" s="757" t="str">
        <v/>
      </c>
      <c r="D8" s="753" t="str">
        <v>Rep. Korea</v>
      </c>
      <c r="E8" s="198">
        <v>0</v>
      </c>
      <c r="F8" s="198">
        <f t="shared" si="1"/>
        <v>0</v>
      </c>
      <c r="G8" s="733">
        <v>0</v>
      </c>
      <c r="H8" s="735" t="str">
        <f>Language!$E$197</f>
        <v xml:space="preserve"> : </v>
      </c>
      <c r="I8" s="747">
        <v>0</v>
      </c>
      <c r="J8" s="744" t="str">
        <v/>
      </c>
      <c r="K8" s="198" t="str">
        <v/>
      </c>
      <c r="L8" s="729" t="str">
        <v/>
      </c>
      <c r="M8" s="730" t="str">
        <v/>
      </c>
      <c r="O8" s="753" t="str">
        <v>Rep. Korea</v>
      </c>
      <c r="P8" s="198">
        <v>0</v>
      </c>
      <c r="Q8" s="198">
        <v>0</v>
      </c>
      <c r="R8" s="733">
        <v>0</v>
      </c>
      <c r="S8" s="735" t="str">
        <f>Language!$E$197</f>
        <v xml:space="preserve"> : </v>
      </c>
      <c r="T8" s="747">
        <f t="shared" si="2"/>
        <v>0</v>
      </c>
      <c r="U8" s="744" t="str">
        <v/>
      </c>
      <c r="V8" s="198" t="str">
        <v/>
      </c>
      <c r="W8" s="729" t="str">
        <v/>
      </c>
      <c r="X8" s="730" t="str">
        <v/>
      </c>
      <c r="Z8" s="753" t="str">
        <v/>
      </c>
      <c r="AA8" s="198" t="str">
        <v/>
      </c>
      <c r="AB8" s="198" t="str">
        <v/>
      </c>
      <c r="AC8" s="733" t="str">
        <v/>
      </c>
      <c r="AD8" s="735" t="str">
        <f>Language!$E$197</f>
        <v xml:space="preserve"> : </v>
      </c>
      <c r="AE8" s="747" t="str">
        <f t="shared" si="3"/>
        <v/>
      </c>
      <c r="AF8" s="744" t="str">
        <v/>
      </c>
      <c r="AG8" s="198" t="str">
        <v/>
      </c>
      <c r="AH8" s="729" t="str">
        <v/>
      </c>
      <c r="AI8" s="730" t="str">
        <v/>
      </c>
      <c r="AK8" s="753" t="str">
        <v/>
      </c>
      <c r="AL8" s="198" t="str">
        <v/>
      </c>
      <c r="AM8" s="198" t="str">
        <v/>
      </c>
      <c r="AN8" s="733" t="str">
        <v/>
      </c>
      <c r="AO8" s="735" t="str">
        <f>Language!$E$197</f>
        <v xml:space="preserve"> : </v>
      </c>
      <c r="AP8" s="747" t="str">
        <f t="shared" si="0"/>
        <v/>
      </c>
      <c r="AQ8" s="744" t="str">
        <v/>
      </c>
      <c r="AR8" s="198" t="str">
        <v/>
      </c>
      <c r="AS8" s="729" t="str">
        <v/>
      </c>
      <c r="AT8" s="730" t="str">
        <v/>
      </c>
      <c r="AV8" s="765">
        <v>0</v>
      </c>
      <c r="AW8" s="730">
        <v>25</v>
      </c>
    </row>
    <row r="9" spans="2:49" ht="15" thickBot="1">
      <c r="B9" s="757" t="str">
        <v/>
      </c>
      <c r="D9" s="754" t="str">
        <v>Tsjechië</v>
      </c>
      <c r="E9" s="731">
        <v>0</v>
      </c>
      <c r="F9" s="731">
        <f t="shared" si="1"/>
        <v>0</v>
      </c>
      <c r="G9" s="734">
        <v>0</v>
      </c>
      <c r="H9" s="736" t="str">
        <f>Language!$E$197</f>
        <v xml:space="preserve"> : </v>
      </c>
      <c r="I9" s="748">
        <v>0</v>
      </c>
      <c r="J9" s="745" t="str">
        <v/>
      </c>
      <c r="K9" s="731" t="str">
        <v/>
      </c>
      <c r="L9" s="731" t="str">
        <v/>
      </c>
      <c r="M9" s="732" t="str">
        <v/>
      </c>
      <c r="O9" s="754" t="str">
        <v>Tsjechië</v>
      </c>
      <c r="P9" s="731">
        <v>0</v>
      </c>
      <c r="Q9" s="731">
        <v>0</v>
      </c>
      <c r="R9" s="734">
        <v>0</v>
      </c>
      <c r="S9" s="736" t="str">
        <f>Language!$E$197</f>
        <v xml:space="preserve"> : </v>
      </c>
      <c r="T9" s="748">
        <f t="shared" si="2"/>
        <v>0</v>
      </c>
      <c r="U9" s="745" t="str">
        <v/>
      </c>
      <c r="V9" s="731" t="str">
        <v/>
      </c>
      <c r="W9" s="731" t="str">
        <v/>
      </c>
      <c r="X9" s="732" t="str">
        <v/>
      </c>
      <c r="Z9" s="754" t="str">
        <v/>
      </c>
      <c r="AA9" s="731" t="str">
        <v/>
      </c>
      <c r="AB9" s="731" t="str">
        <v/>
      </c>
      <c r="AC9" s="734" t="str">
        <v/>
      </c>
      <c r="AD9" s="736" t="str">
        <f>Language!$E$197</f>
        <v xml:space="preserve"> : </v>
      </c>
      <c r="AE9" s="748" t="str">
        <f t="shared" si="3"/>
        <v/>
      </c>
      <c r="AF9" s="745" t="str">
        <v/>
      </c>
      <c r="AG9" s="731" t="str">
        <v/>
      </c>
      <c r="AH9" s="731" t="str">
        <v/>
      </c>
      <c r="AI9" s="732" t="str">
        <v/>
      </c>
      <c r="AK9" s="754" t="str">
        <v/>
      </c>
      <c r="AL9" s="731" t="str">
        <v/>
      </c>
      <c r="AM9" s="731" t="str">
        <v/>
      </c>
      <c r="AN9" s="734" t="str">
        <v/>
      </c>
      <c r="AO9" s="736" t="str">
        <f>Language!$E$197</f>
        <v xml:space="preserve"> : </v>
      </c>
      <c r="AP9" s="748" t="str">
        <f t="shared" si="0"/>
        <v/>
      </c>
      <c r="AQ9" s="745" t="str">
        <v/>
      </c>
      <c r="AR9" s="731" t="str">
        <v/>
      </c>
      <c r="AS9" s="731" t="str">
        <v/>
      </c>
      <c r="AT9" s="732" t="str">
        <v/>
      </c>
      <c r="AV9" s="766">
        <v>0</v>
      </c>
      <c r="AW9" s="767">
        <v>41</v>
      </c>
    </row>
    <row r="10" spans="2:49" ht="15" thickTop="1"/>
    <row r="11" spans="2:49"/>
    <row r="12" spans="2:49" ht="15" thickBot="1">
      <c r="Z12" s="780" t="str">
        <f>IF(COUNTBLANK(CalcB!$BN$14:$BN$17)&lt;4,Language!$E$136,"")</f>
        <v/>
      </c>
      <c r="AK12" s="780" t="str">
        <f>IF(COUNTBLANK(CalcB!$BZ$14:$BZ$17)&lt;4,Language!$E$136,"")</f>
        <v/>
      </c>
    </row>
    <row r="13" spans="2:49" ht="24.5" thickTop="1">
      <c r="B13" s="755" t="s">
        <v>20</v>
      </c>
      <c r="C13" s="728"/>
      <c r="D13" s="739"/>
      <c r="E13" s="750" t="str">
        <f>Language!$E$131</f>
        <v>Ptn.</v>
      </c>
      <c r="F13" s="750" t="str">
        <f>Language!$E$132</f>
        <v>DS</v>
      </c>
      <c r="G13" s="843" t="str">
        <f>Language!$E$133</f>
        <v>Doelpunten</v>
      </c>
      <c r="H13" s="844"/>
      <c r="I13" s="844"/>
      <c r="J13" s="742" t="str">
        <f t="array" ref="J13:M13">LEFT(CalcB!$H$21:$K$21,$D$4)</f>
        <v>Canada</v>
      </c>
      <c r="K13" s="740" t="str">
        <v>Bosnië/</v>
      </c>
      <c r="L13" s="740" t="str">
        <v>Qatar</v>
      </c>
      <c r="M13" s="741" t="str">
        <v>Zwitser</v>
      </c>
      <c r="O13" s="739"/>
      <c r="P13" s="750" t="str">
        <f>Language!$E$131</f>
        <v>Ptn.</v>
      </c>
      <c r="Q13" s="750" t="str">
        <f>Language!$E$132</f>
        <v>DS</v>
      </c>
      <c r="R13" s="843" t="str">
        <f>Language!$E$133</f>
        <v>Doelpunten</v>
      </c>
      <c r="S13" s="844"/>
      <c r="T13" s="844"/>
      <c r="U13" s="742" t="str">
        <f t="array" ref="U13:X13">LEFT(CalcB!$BE$13:$BH$13,$D$4)</f>
        <v>Canada</v>
      </c>
      <c r="V13" s="740" t="str">
        <v>Bosnië/</v>
      </c>
      <c r="W13" s="740" t="str">
        <v>Qatar</v>
      </c>
      <c r="X13" s="741" t="str">
        <v>Zwitser</v>
      </c>
      <c r="Z13" s="739"/>
      <c r="AA13" s="750" t="str">
        <f>Language!$E$131</f>
        <v>Ptn.</v>
      </c>
      <c r="AB13" s="750" t="str">
        <f>Language!$E$132</f>
        <v>DS</v>
      </c>
      <c r="AC13" s="843" t="str">
        <f>Language!$E$133</f>
        <v>Doelpunten</v>
      </c>
      <c r="AD13" s="844"/>
      <c r="AE13" s="844"/>
      <c r="AF13" s="742" t="str">
        <f t="array" ref="AF13:AI13">IF(COUNTBLANK(CalcB!$AZ$22:$AZ$25)&lt;4,LEFT(CalcB!$BE$21:$BH$21,$D$4),LEFT(CalcB!$BS$13:$BV$13,$D$4))</f>
        <v/>
      </c>
      <c r="AG13" s="740" t="str">
        <v/>
      </c>
      <c r="AH13" s="740" t="str">
        <v/>
      </c>
      <c r="AI13" s="741" t="str">
        <v/>
      </c>
      <c r="AK13" s="739"/>
      <c r="AL13" s="750" t="str">
        <f>Language!$E$131</f>
        <v>Ptn.</v>
      </c>
      <c r="AM13" s="750" t="str">
        <f>Language!$E$132</f>
        <v>DS</v>
      </c>
      <c r="AN13" s="843" t="str">
        <f>Language!$E$133</f>
        <v>Doelpunten</v>
      </c>
      <c r="AO13" s="844"/>
      <c r="AP13" s="844"/>
      <c r="AQ13" s="742" t="str">
        <f t="array" ref="AQ13:AT13">LEFT(CalcB!$CE$13:$CH$13,$D$4)</f>
        <v/>
      </c>
      <c r="AR13" s="740" t="str">
        <v/>
      </c>
      <c r="AS13" s="740" t="str">
        <v/>
      </c>
      <c r="AT13" s="741" t="str">
        <v/>
      </c>
      <c r="AV13" s="762" t="str">
        <f>Language!$E$123</f>
        <v>Fair-Play</v>
      </c>
      <c r="AW13" s="763" t="str">
        <f>Language!$E$186</f>
        <v>FIFA-rank.</v>
      </c>
    </row>
    <row r="14" spans="2:49">
      <c r="B14" s="757" t="str">
        <f t="array" ref="B14:B17">IF(CalcB!$M$22:$M$25,"•","")</f>
        <v/>
      </c>
      <c r="D14" s="752" t="str">
        <f t="array" ref="D14:D17">CalcB!$D$22:$D$25</f>
        <v>Canada</v>
      </c>
      <c r="E14" s="352">
        <f t="array" ref="E14:E17">CalcB!$E$22:$E$25</f>
        <v>0</v>
      </c>
      <c r="F14" s="352">
        <f>G14-I14</f>
        <v>0</v>
      </c>
      <c r="G14" s="737">
        <f t="array" ref="G14:G17">CalcB!$F$22:$F$25</f>
        <v>0</v>
      </c>
      <c r="H14" s="749" t="str">
        <f>Language!$E$197</f>
        <v xml:space="preserve"> : </v>
      </c>
      <c r="I14" s="746">
        <f t="array" ref="I14:I17">CalcB!$G$22:$G$25</f>
        <v>0</v>
      </c>
      <c r="J14" s="743" t="str">
        <f t="array" ref="J14:M17">CalcB!$H$22:$K$25</f>
        <v/>
      </c>
      <c r="K14" s="352" t="str">
        <v/>
      </c>
      <c r="L14" s="352" t="str">
        <v/>
      </c>
      <c r="M14" s="738" t="str">
        <v/>
      </c>
      <c r="O14" s="752" t="str">
        <f t="array" ref="O14:O17">CalcB!$AZ$14:$AZ$17</f>
        <v>Canada</v>
      </c>
      <c r="P14" s="352">
        <f t="array" ref="P14:P17">CalcB!$BA$14:$BA$17</f>
        <v>0</v>
      </c>
      <c r="Q14" s="352">
        <f t="array" ref="Q14:Q17">CalcB!$BB$14:$BB$17</f>
        <v>0</v>
      </c>
      <c r="R14" s="737">
        <f t="array" ref="R14:R17">CalcB!$BC$14:$BC$17</f>
        <v>0</v>
      </c>
      <c r="S14" s="749" t="str">
        <f>Language!$E$197</f>
        <v xml:space="preserve"> : </v>
      </c>
      <c r="T14" s="746">
        <f t="shared" ref="T14:T17" si="4">IF(O14="","",R14-Q14)</f>
        <v>0</v>
      </c>
      <c r="U14" s="743" t="str">
        <f t="array" ref="U14:X17">CalcB!$BE$14:$BH$17</f>
        <v/>
      </c>
      <c r="V14" s="352" t="str">
        <v/>
      </c>
      <c r="W14" s="352" t="str">
        <v/>
      </c>
      <c r="X14" s="738" t="str">
        <v/>
      </c>
      <c r="Z14" s="752" t="str">
        <f t="array" ref="Z14:Z17">IF(COUNTBLANK(CalcB!$AZ$22:$AZ$25)&lt;4,CalcB!$AZ$22:$AZ$25,CalcB!$BN$14:$BN$17)</f>
        <v/>
      </c>
      <c r="AA14" s="352" t="str">
        <f t="array" ref="AA14:AA17">IF(COUNTBLANK(CalcB!$AZ$22:$AZ$25)&lt;4,CalcB!$BA$22:$BA$25,CalcB!$BO$14:$BO$17)</f>
        <v/>
      </c>
      <c r="AB14" s="352" t="str">
        <f t="array" ref="AB14:AB17">IF(COUNTBLANK(CalcB!$AZ$22:$AZ$25)&lt;4,CalcB!$BB$22:$BB$25,CalcB!$BP$14:$BP$17)</f>
        <v/>
      </c>
      <c r="AC14" s="737" t="str">
        <f t="array" ref="AC14:AC17">IF(COUNTBLANK(CalcB!$AZ$22:$AZ$25)&lt;4,CalcB!$BC$22:$BC$25,CalcB!$BQ$14:$BQ$17)</f>
        <v/>
      </c>
      <c r="AD14" s="749" t="str">
        <f>Language!$E$197</f>
        <v xml:space="preserve"> : </v>
      </c>
      <c r="AE14" s="746" t="str">
        <f t="shared" ref="AE14:AE17" si="5">IF(Z14="","",AC14-AB14)</f>
        <v/>
      </c>
      <c r="AF14" s="743" t="str">
        <f t="array" ref="AF14:AI17">IF(COUNTBLANK(CalcB!$AZ$22:$AZ$25)&lt;4,CalcB!$BE$22:$BH$25,CalcB!$BS$14:$BV$17)</f>
        <v/>
      </c>
      <c r="AG14" s="352" t="str">
        <v/>
      </c>
      <c r="AH14" s="352" t="str">
        <v/>
      </c>
      <c r="AI14" s="738" t="str">
        <v/>
      </c>
      <c r="AK14" s="752" t="str">
        <f t="array" ref="AK14:AK17">CalcB!$BZ$14:$BZ$17</f>
        <v/>
      </c>
      <c r="AL14" s="352" t="str">
        <f t="array" ref="AL14:AL17">CalcB!$CA$14:$CA$17</f>
        <v/>
      </c>
      <c r="AM14" s="352" t="str">
        <f t="array" ref="AM14:AM17">CalcB!$CB$14:$CB$17</f>
        <v/>
      </c>
      <c r="AN14" s="737" t="str">
        <f t="array" ref="AN14:AN17">CalcB!$CC$14:$CC$17</f>
        <v/>
      </c>
      <c r="AO14" s="749" t="str">
        <f>Language!$E$197</f>
        <v xml:space="preserve"> : </v>
      </c>
      <c r="AP14" s="746" t="str">
        <f t="shared" ref="AP14:AP17" si="6">IF(AK14="","",AN14-AM14)</f>
        <v/>
      </c>
      <c r="AQ14" s="743" t="str">
        <f t="array" ref="AQ14:AT17">CalcB!$CE$14:$CH$17</f>
        <v/>
      </c>
      <c r="AR14" s="352" t="str">
        <v/>
      </c>
      <c r="AS14" s="352" t="str">
        <v/>
      </c>
      <c r="AT14" s="738" t="str">
        <v/>
      </c>
      <c r="AV14" s="764">
        <f t="array" ref="AV14:AV17">VLOOKUP($D14:$D17,CalcB!$D$5:$P$8,13,0)</f>
        <v>0</v>
      </c>
      <c r="AW14" s="738">
        <f t="array" ref="AW14:AW17">VLOOKUP($D14:$D17,CalcB!$D$5:$Q$8,14,0)</f>
        <v>30</v>
      </c>
    </row>
    <row r="15" spans="2:49">
      <c r="B15" s="757" t="str">
        <v/>
      </c>
      <c r="D15" s="753" t="str">
        <v>Bosnië/Herzeg.</v>
      </c>
      <c r="E15" s="198">
        <v>0</v>
      </c>
      <c r="F15" s="198">
        <f t="shared" ref="F15:F17" si="7">G15-I15</f>
        <v>0</v>
      </c>
      <c r="G15" s="733">
        <v>0</v>
      </c>
      <c r="H15" s="735" t="str">
        <f>Language!$E$197</f>
        <v xml:space="preserve"> : </v>
      </c>
      <c r="I15" s="747">
        <v>0</v>
      </c>
      <c r="J15" s="744" t="str">
        <v/>
      </c>
      <c r="K15" s="729" t="str">
        <v/>
      </c>
      <c r="L15" s="198" t="str">
        <v/>
      </c>
      <c r="M15" s="730" t="str">
        <v/>
      </c>
      <c r="O15" s="753" t="str">
        <v>Bosnië/Herzeg.</v>
      </c>
      <c r="P15" s="198">
        <v>0</v>
      </c>
      <c r="Q15" s="198">
        <v>0</v>
      </c>
      <c r="R15" s="733">
        <v>0</v>
      </c>
      <c r="S15" s="735" t="str">
        <f>Language!$E$197</f>
        <v xml:space="preserve"> : </v>
      </c>
      <c r="T15" s="747">
        <f t="shared" si="4"/>
        <v>0</v>
      </c>
      <c r="U15" s="744" t="str">
        <v/>
      </c>
      <c r="V15" s="729" t="str">
        <v/>
      </c>
      <c r="W15" s="198" t="str">
        <v/>
      </c>
      <c r="X15" s="730" t="str">
        <v/>
      </c>
      <c r="Z15" s="753" t="str">
        <v/>
      </c>
      <c r="AA15" s="198" t="str">
        <v/>
      </c>
      <c r="AB15" s="198" t="str">
        <v/>
      </c>
      <c r="AC15" s="733" t="str">
        <v/>
      </c>
      <c r="AD15" s="735" t="str">
        <f>Language!$E$197</f>
        <v xml:space="preserve"> : </v>
      </c>
      <c r="AE15" s="747" t="str">
        <f t="shared" si="5"/>
        <v/>
      </c>
      <c r="AF15" s="744" t="str">
        <v/>
      </c>
      <c r="AG15" s="729" t="str">
        <v/>
      </c>
      <c r="AH15" s="198" t="str">
        <v/>
      </c>
      <c r="AI15" s="730" t="str">
        <v/>
      </c>
      <c r="AK15" s="753" t="str">
        <v/>
      </c>
      <c r="AL15" s="198" t="str">
        <v/>
      </c>
      <c r="AM15" s="198" t="str">
        <v/>
      </c>
      <c r="AN15" s="733" t="str">
        <v/>
      </c>
      <c r="AO15" s="735" t="str">
        <f>Language!$E$197</f>
        <v xml:space="preserve"> : </v>
      </c>
      <c r="AP15" s="747" t="str">
        <f t="shared" si="6"/>
        <v/>
      </c>
      <c r="AQ15" s="744" t="str">
        <v/>
      </c>
      <c r="AR15" s="729" t="str">
        <v/>
      </c>
      <c r="AS15" s="198" t="str">
        <v/>
      </c>
      <c r="AT15" s="730" t="str">
        <v/>
      </c>
      <c r="AV15" s="765">
        <v>0</v>
      </c>
      <c r="AW15" s="730">
        <v>65</v>
      </c>
    </row>
    <row r="16" spans="2:49">
      <c r="B16" s="757" t="str">
        <v/>
      </c>
      <c r="D16" s="753" t="str">
        <v>Qatar</v>
      </c>
      <c r="E16" s="198">
        <v>0</v>
      </c>
      <c r="F16" s="198">
        <f t="shared" si="7"/>
        <v>0</v>
      </c>
      <c r="G16" s="733">
        <v>0</v>
      </c>
      <c r="H16" s="735" t="str">
        <f>Language!$E$197</f>
        <v xml:space="preserve"> : </v>
      </c>
      <c r="I16" s="747">
        <v>0</v>
      </c>
      <c r="J16" s="744" t="str">
        <v/>
      </c>
      <c r="K16" s="198" t="str">
        <v/>
      </c>
      <c r="L16" s="729" t="str">
        <v/>
      </c>
      <c r="M16" s="730" t="str">
        <v/>
      </c>
      <c r="O16" s="753" t="str">
        <v>Qatar</v>
      </c>
      <c r="P16" s="198">
        <v>0</v>
      </c>
      <c r="Q16" s="198">
        <v>0</v>
      </c>
      <c r="R16" s="733">
        <v>0</v>
      </c>
      <c r="S16" s="735" t="str">
        <f>Language!$E$197</f>
        <v xml:space="preserve"> : </v>
      </c>
      <c r="T16" s="747">
        <f t="shared" si="4"/>
        <v>0</v>
      </c>
      <c r="U16" s="744" t="str">
        <v/>
      </c>
      <c r="V16" s="198" t="str">
        <v/>
      </c>
      <c r="W16" s="729" t="str">
        <v/>
      </c>
      <c r="X16" s="730" t="str">
        <v/>
      </c>
      <c r="Z16" s="753" t="str">
        <v/>
      </c>
      <c r="AA16" s="198" t="str">
        <v/>
      </c>
      <c r="AB16" s="198" t="str">
        <v/>
      </c>
      <c r="AC16" s="733" t="str">
        <v/>
      </c>
      <c r="AD16" s="735" t="str">
        <f>Language!$E$197</f>
        <v xml:space="preserve"> : </v>
      </c>
      <c r="AE16" s="747" t="str">
        <f t="shared" si="5"/>
        <v/>
      </c>
      <c r="AF16" s="744" t="str">
        <v/>
      </c>
      <c r="AG16" s="198" t="str">
        <v/>
      </c>
      <c r="AH16" s="729" t="str">
        <v/>
      </c>
      <c r="AI16" s="730" t="str">
        <v/>
      </c>
      <c r="AK16" s="753" t="str">
        <v/>
      </c>
      <c r="AL16" s="198" t="str">
        <v/>
      </c>
      <c r="AM16" s="198" t="str">
        <v/>
      </c>
      <c r="AN16" s="733" t="str">
        <v/>
      </c>
      <c r="AO16" s="735" t="str">
        <f>Language!$E$197</f>
        <v xml:space="preserve"> : </v>
      </c>
      <c r="AP16" s="747" t="str">
        <f t="shared" si="6"/>
        <v/>
      </c>
      <c r="AQ16" s="744" t="str">
        <v/>
      </c>
      <c r="AR16" s="198" t="str">
        <v/>
      </c>
      <c r="AS16" s="729" t="str">
        <v/>
      </c>
      <c r="AT16" s="730" t="str">
        <v/>
      </c>
      <c r="AV16" s="765">
        <v>0</v>
      </c>
      <c r="AW16" s="730">
        <v>55</v>
      </c>
    </row>
    <row r="17" spans="2:49" ht="15" thickBot="1">
      <c r="B17" s="757" t="str">
        <v/>
      </c>
      <c r="D17" s="754" t="str">
        <v>Zwitserland</v>
      </c>
      <c r="E17" s="731">
        <v>0</v>
      </c>
      <c r="F17" s="731">
        <f t="shared" si="7"/>
        <v>0</v>
      </c>
      <c r="G17" s="734">
        <v>0</v>
      </c>
      <c r="H17" s="736" t="str">
        <f>Language!$E$197</f>
        <v xml:space="preserve"> : </v>
      </c>
      <c r="I17" s="748">
        <v>0</v>
      </c>
      <c r="J17" s="745" t="str">
        <v/>
      </c>
      <c r="K17" s="731" t="str">
        <v/>
      </c>
      <c r="L17" s="731" t="str">
        <v/>
      </c>
      <c r="M17" s="732" t="str">
        <v/>
      </c>
      <c r="O17" s="754" t="str">
        <v>Zwitserland</v>
      </c>
      <c r="P17" s="731">
        <v>0</v>
      </c>
      <c r="Q17" s="731">
        <v>0</v>
      </c>
      <c r="R17" s="734">
        <v>0</v>
      </c>
      <c r="S17" s="736" t="str">
        <f>Language!$E$197</f>
        <v xml:space="preserve"> : </v>
      </c>
      <c r="T17" s="748">
        <f t="shared" si="4"/>
        <v>0</v>
      </c>
      <c r="U17" s="745" t="str">
        <v/>
      </c>
      <c r="V17" s="731" t="str">
        <v/>
      </c>
      <c r="W17" s="731" t="str">
        <v/>
      </c>
      <c r="X17" s="732" t="str">
        <v/>
      </c>
      <c r="Z17" s="754" t="str">
        <v/>
      </c>
      <c r="AA17" s="731" t="str">
        <v/>
      </c>
      <c r="AB17" s="731" t="str">
        <v/>
      </c>
      <c r="AC17" s="734" t="str">
        <v/>
      </c>
      <c r="AD17" s="736" t="str">
        <f>Language!$E$197</f>
        <v xml:space="preserve"> : </v>
      </c>
      <c r="AE17" s="748" t="str">
        <f t="shared" si="5"/>
        <v/>
      </c>
      <c r="AF17" s="745" t="str">
        <v/>
      </c>
      <c r="AG17" s="731" t="str">
        <v/>
      </c>
      <c r="AH17" s="731" t="str">
        <v/>
      </c>
      <c r="AI17" s="732" t="str">
        <v/>
      </c>
      <c r="AK17" s="754" t="str">
        <v/>
      </c>
      <c r="AL17" s="731" t="str">
        <v/>
      </c>
      <c r="AM17" s="731" t="str">
        <v/>
      </c>
      <c r="AN17" s="734" t="str">
        <v/>
      </c>
      <c r="AO17" s="736" t="str">
        <f>Language!$E$197</f>
        <v xml:space="preserve"> : </v>
      </c>
      <c r="AP17" s="748" t="str">
        <f t="shared" si="6"/>
        <v/>
      </c>
      <c r="AQ17" s="745" t="str">
        <v/>
      </c>
      <c r="AR17" s="731" t="str">
        <v/>
      </c>
      <c r="AS17" s="731" t="str">
        <v/>
      </c>
      <c r="AT17" s="732" t="str">
        <v/>
      </c>
      <c r="AV17" s="766">
        <v>0</v>
      </c>
      <c r="AW17" s="767">
        <v>19</v>
      </c>
    </row>
    <row r="18" spans="2:49" ht="15" thickTop="1"/>
    <row r="19" spans="2:49"/>
    <row r="20" spans="2:49" ht="15" thickBot="1">
      <c r="Z20" s="780" t="str">
        <f>IF(COUNTBLANK(CalcC!$BN$14:$BN$17)&lt;4,Language!$E$136,"")</f>
        <v/>
      </c>
      <c r="AK20" s="780" t="str">
        <f>IF(COUNTBLANK(CalcC!$BZ$14:$BZ$17)&lt;4,Language!$E$136,"")</f>
        <v/>
      </c>
    </row>
    <row r="21" spans="2:49" ht="24.5" thickTop="1">
      <c r="B21" s="755" t="s">
        <v>21</v>
      </c>
      <c r="C21" s="728"/>
      <c r="D21" s="739"/>
      <c r="E21" s="750" t="str">
        <f>Language!$E$131</f>
        <v>Ptn.</v>
      </c>
      <c r="F21" s="750" t="str">
        <f>Language!$E$132</f>
        <v>DS</v>
      </c>
      <c r="G21" s="843" t="str">
        <f>Language!$E$133</f>
        <v>Doelpunten</v>
      </c>
      <c r="H21" s="844"/>
      <c r="I21" s="844"/>
      <c r="J21" s="742" t="str">
        <f t="array" ref="J21:M21">LEFT(CalcC!$H$21:$K$21,$D$4)</f>
        <v>Brazili</v>
      </c>
      <c r="K21" s="740" t="str">
        <v>Marokko</v>
      </c>
      <c r="L21" s="740" t="str">
        <v>Haïti</v>
      </c>
      <c r="M21" s="741" t="str">
        <v>Schotla</v>
      </c>
      <c r="O21" s="739"/>
      <c r="P21" s="750" t="str">
        <f>Language!$E$131</f>
        <v>Ptn.</v>
      </c>
      <c r="Q21" s="750" t="str">
        <f>Language!$E$132</f>
        <v>DS</v>
      </c>
      <c r="R21" s="843" t="str">
        <f>Language!$E$133</f>
        <v>Doelpunten</v>
      </c>
      <c r="S21" s="844"/>
      <c r="T21" s="844"/>
      <c r="U21" s="742" t="str">
        <f t="array" ref="U21:X21">LEFT(CalcC!$BE$13:$BH$13,$D$4)</f>
        <v>Brazili</v>
      </c>
      <c r="V21" s="740" t="str">
        <v>Marokko</v>
      </c>
      <c r="W21" s="740" t="str">
        <v>Haïti</v>
      </c>
      <c r="X21" s="741" t="str">
        <v>Schotla</v>
      </c>
      <c r="Z21" s="739"/>
      <c r="AA21" s="750" t="str">
        <f>Language!$E$131</f>
        <v>Ptn.</v>
      </c>
      <c r="AB21" s="750" t="str">
        <f>Language!$E$132</f>
        <v>DS</v>
      </c>
      <c r="AC21" s="843" t="str">
        <f>Language!$E$133</f>
        <v>Doelpunten</v>
      </c>
      <c r="AD21" s="844"/>
      <c r="AE21" s="844"/>
      <c r="AF21" s="742" t="str">
        <f t="array" ref="AF21:AI21">IF(COUNTBLANK(CalcC!$AZ$22:$AZ$25)&lt;4,LEFT(CalcC!$BE$21:$BH$21,$D$4),LEFT(CalcC!$BS$13:$BV$13,$D$4))</f>
        <v/>
      </c>
      <c r="AG21" s="740" t="str">
        <v/>
      </c>
      <c r="AH21" s="740" t="str">
        <v/>
      </c>
      <c r="AI21" s="741" t="str">
        <v/>
      </c>
      <c r="AK21" s="739"/>
      <c r="AL21" s="750" t="str">
        <f>Language!$E$131</f>
        <v>Ptn.</v>
      </c>
      <c r="AM21" s="750" t="str">
        <f>Language!$E$132</f>
        <v>DS</v>
      </c>
      <c r="AN21" s="843" t="str">
        <f>Language!$E$133</f>
        <v>Doelpunten</v>
      </c>
      <c r="AO21" s="844"/>
      <c r="AP21" s="844"/>
      <c r="AQ21" s="742" t="str">
        <f t="array" ref="AQ21:AT21">LEFT(CalcC!$CE$13:$CH$13,$D$4)</f>
        <v/>
      </c>
      <c r="AR21" s="740" t="str">
        <v/>
      </c>
      <c r="AS21" s="740" t="str">
        <v/>
      </c>
      <c r="AT21" s="741" t="str">
        <v/>
      </c>
      <c r="AV21" s="762" t="str">
        <f>Language!$E$123</f>
        <v>Fair-Play</v>
      </c>
      <c r="AW21" s="763" t="str">
        <f>Language!$E$186</f>
        <v>FIFA-rank.</v>
      </c>
    </row>
    <row r="22" spans="2:49">
      <c r="B22" s="757" t="str">
        <f t="array" ref="B22:B25">IF(CalcC!$M$22:$M$25,"•","")</f>
        <v/>
      </c>
      <c r="D22" s="752" t="str">
        <f t="array" ref="D22:D25">CalcC!$D$22:$D$25</f>
        <v>Brazilië</v>
      </c>
      <c r="E22" s="352">
        <f t="array" ref="E22:E25">CalcC!$E$22:$E$25</f>
        <v>0</v>
      </c>
      <c r="F22" s="352">
        <f>G22-I22</f>
        <v>0</v>
      </c>
      <c r="G22" s="737">
        <f t="array" ref="G22:G25">CalcC!$F$22:$F$25</f>
        <v>0</v>
      </c>
      <c r="H22" s="749" t="str">
        <f>Language!$E$197</f>
        <v xml:space="preserve"> : </v>
      </c>
      <c r="I22" s="746">
        <f t="array" ref="I22:I25">CalcC!$G$22:$G$25</f>
        <v>0</v>
      </c>
      <c r="J22" s="743" t="str">
        <f t="array" ref="J22:M25">CalcC!$H$22:$K$25</f>
        <v/>
      </c>
      <c r="K22" s="352" t="str">
        <v/>
      </c>
      <c r="L22" s="352" t="str">
        <v/>
      </c>
      <c r="M22" s="738" t="str">
        <v/>
      </c>
      <c r="O22" s="752" t="str">
        <f t="array" ref="O22:O25">CalcC!$AZ$14:$AZ$17</f>
        <v>Brazilië</v>
      </c>
      <c r="P22" s="352">
        <f t="array" ref="P22:P25">CalcC!$BA$14:$BA$17</f>
        <v>0</v>
      </c>
      <c r="Q22" s="352">
        <f t="array" ref="Q22:Q25">CalcC!$BB$14:$BB$17</f>
        <v>0</v>
      </c>
      <c r="R22" s="737">
        <f t="array" ref="R22:R25">CalcC!$BC$14:$BC$17</f>
        <v>0</v>
      </c>
      <c r="S22" s="749" t="str">
        <f>Language!$E$197</f>
        <v xml:space="preserve"> : </v>
      </c>
      <c r="T22" s="746">
        <f t="shared" ref="T22:T25" si="8">IF(O22="","",R22-Q22)</f>
        <v>0</v>
      </c>
      <c r="U22" s="743" t="str">
        <f t="array" ref="U22:X25">CalcC!$BE$14:$BH$17</f>
        <v/>
      </c>
      <c r="V22" s="352" t="str">
        <v/>
      </c>
      <c r="W22" s="352" t="str">
        <v/>
      </c>
      <c r="X22" s="738" t="str">
        <v/>
      </c>
      <c r="Z22" s="752" t="str">
        <f t="array" ref="Z22:Z25">IF(COUNTBLANK(CalcC!$AZ$22:$AZ$25)&lt;4,CalcC!$AZ$22:$AZ$25,CalcC!$BN$14:$BN$17)</f>
        <v/>
      </c>
      <c r="AA22" s="352" t="str">
        <f t="array" ref="AA22:AA25">IF(COUNTBLANK(CalcC!$AZ$22:$AZ$25)&lt;4,CalcC!$BA$22:$BA$25,CalcC!$BO$14:$BO$17)</f>
        <v/>
      </c>
      <c r="AB22" s="352" t="str">
        <f t="array" ref="AB22:AB25">IF(COUNTBLANK(CalcC!$AZ$22:$AZ$25)&lt;4,CalcC!$BB$22:$BB$25,CalcC!$BP$14:$BP$17)</f>
        <v/>
      </c>
      <c r="AC22" s="737" t="str">
        <f t="array" ref="AC22:AC25">IF(COUNTBLANK(CalcC!$AZ$22:$AZ$25)&lt;4,CalcC!$BC$22:$BC$25,CalcC!$BQ$14:$BQ$17)</f>
        <v/>
      </c>
      <c r="AD22" s="749" t="str">
        <f>Language!$E$197</f>
        <v xml:space="preserve"> : </v>
      </c>
      <c r="AE22" s="746" t="str">
        <f t="shared" ref="AE22:AE25" si="9">IF(Z22="","",AC22-AB22)</f>
        <v/>
      </c>
      <c r="AF22" s="743" t="str">
        <f t="array" ref="AF22:AI25">IF(COUNTBLANK(CalcC!$AZ$22:$AZ$25)&lt;4,CalcC!$BE$22:$BH$25,CalcC!$BS$14:$BV$17)</f>
        <v/>
      </c>
      <c r="AG22" s="352" t="str">
        <v/>
      </c>
      <c r="AH22" s="352" t="str">
        <v/>
      </c>
      <c r="AI22" s="738" t="str">
        <v/>
      </c>
      <c r="AK22" s="752" t="str">
        <f t="array" ref="AK22:AK25">CalcC!$BZ$14:$BZ$17</f>
        <v/>
      </c>
      <c r="AL22" s="352" t="str">
        <f t="array" ref="AL22:AL25">CalcC!$CA$14:$CA$17</f>
        <v/>
      </c>
      <c r="AM22" s="352" t="str">
        <f t="array" ref="AM22:AM25">CalcC!$CB$14:$CB$17</f>
        <v/>
      </c>
      <c r="AN22" s="737" t="str">
        <f t="array" ref="AN22:AN25">CalcC!$CC$14:$CC$17</f>
        <v/>
      </c>
      <c r="AO22" s="749" t="str">
        <f>Language!$E$197</f>
        <v xml:space="preserve"> : </v>
      </c>
      <c r="AP22" s="746" t="str">
        <f t="shared" ref="AP22:AP25" si="10">IF(AK22="","",AN22-AM22)</f>
        <v/>
      </c>
      <c r="AQ22" s="743" t="str">
        <f t="array" ref="AQ22:AT25">CalcC!$CE$14:$CH$17</f>
        <v/>
      </c>
      <c r="AR22" s="352" t="str">
        <v/>
      </c>
      <c r="AS22" s="352" t="str">
        <v/>
      </c>
      <c r="AT22" s="738" t="str">
        <v/>
      </c>
      <c r="AV22" s="764">
        <f t="array" ref="AV22:AV25">VLOOKUP($D22:$D25,CalcC!$D$5:$P$8,13,0)</f>
        <v>0</v>
      </c>
      <c r="AW22" s="738">
        <f t="array" ref="AW22:AW25">VLOOKUP($D22:$D25,CalcC!$D$5:$Q$8,14,0)</f>
        <v>6</v>
      </c>
    </row>
    <row r="23" spans="2:49">
      <c r="B23" s="757" t="str">
        <v/>
      </c>
      <c r="D23" s="753" t="str">
        <v>Marokko</v>
      </c>
      <c r="E23" s="198">
        <v>0</v>
      </c>
      <c r="F23" s="198">
        <f t="shared" ref="F23:F25" si="11">G23-I23</f>
        <v>0</v>
      </c>
      <c r="G23" s="733">
        <v>0</v>
      </c>
      <c r="H23" s="735" t="str">
        <f>Language!$E$197</f>
        <v xml:space="preserve"> : </v>
      </c>
      <c r="I23" s="747">
        <v>0</v>
      </c>
      <c r="J23" s="744" t="str">
        <v/>
      </c>
      <c r="K23" s="729" t="str">
        <v/>
      </c>
      <c r="L23" s="198" t="str">
        <v/>
      </c>
      <c r="M23" s="730" t="str">
        <v/>
      </c>
      <c r="O23" s="753" t="str">
        <v>Marokko</v>
      </c>
      <c r="P23" s="198">
        <v>0</v>
      </c>
      <c r="Q23" s="198">
        <v>0</v>
      </c>
      <c r="R23" s="733">
        <v>0</v>
      </c>
      <c r="S23" s="735" t="str">
        <f>Language!$E$197</f>
        <v xml:space="preserve"> : </v>
      </c>
      <c r="T23" s="747">
        <f t="shared" si="8"/>
        <v>0</v>
      </c>
      <c r="U23" s="744" t="str">
        <v/>
      </c>
      <c r="V23" s="729" t="str">
        <v/>
      </c>
      <c r="W23" s="198" t="str">
        <v/>
      </c>
      <c r="X23" s="730" t="str">
        <v/>
      </c>
      <c r="Z23" s="753" t="str">
        <v/>
      </c>
      <c r="AA23" s="198" t="str">
        <v/>
      </c>
      <c r="AB23" s="198" t="str">
        <v/>
      </c>
      <c r="AC23" s="733" t="str">
        <v/>
      </c>
      <c r="AD23" s="735" t="str">
        <f>Language!$E$197</f>
        <v xml:space="preserve"> : </v>
      </c>
      <c r="AE23" s="747" t="str">
        <f t="shared" si="9"/>
        <v/>
      </c>
      <c r="AF23" s="744" t="str">
        <v/>
      </c>
      <c r="AG23" s="729" t="str">
        <v/>
      </c>
      <c r="AH23" s="198" t="str">
        <v/>
      </c>
      <c r="AI23" s="730" t="str">
        <v/>
      </c>
      <c r="AK23" s="753" t="str">
        <v/>
      </c>
      <c r="AL23" s="198" t="str">
        <v/>
      </c>
      <c r="AM23" s="198" t="str">
        <v/>
      </c>
      <c r="AN23" s="733" t="str">
        <v/>
      </c>
      <c r="AO23" s="735" t="str">
        <f>Language!$E$197</f>
        <v xml:space="preserve"> : </v>
      </c>
      <c r="AP23" s="747" t="str">
        <f t="shared" si="10"/>
        <v/>
      </c>
      <c r="AQ23" s="744" t="str">
        <v/>
      </c>
      <c r="AR23" s="729" t="str">
        <v/>
      </c>
      <c r="AS23" s="198" t="str">
        <v/>
      </c>
      <c r="AT23" s="730" t="str">
        <v/>
      </c>
      <c r="AV23" s="765">
        <v>0</v>
      </c>
      <c r="AW23" s="730">
        <v>8</v>
      </c>
    </row>
    <row r="24" spans="2:49">
      <c r="B24" s="757" t="str">
        <v/>
      </c>
      <c r="D24" s="753" t="str">
        <v>Haïti</v>
      </c>
      <c r="E24" s="198">
        <v>0</v>
      </c>
      <c r="F24" s="198">
        <f t="shared" si="11"/>
        <v>0</v>
      </c>
      <c r="G24" s="733">
        <v>0</v>
      </c>
      <c r="H24" s="735" t="str">
        <f>Language!$E$197</f>
        <v xml:space="preserve"> : </v>
      </c>
      <c r="I24" s="747">
        <v>0</v>
      </c>
      <c r="J24" s="744" t="str">
        <v/>
      </c>
      <c r="K24" s="198" t="str">
        <v/>
      </c>
      <c r="L24" s="729" t="str">
        <v/>
      </c>
      <c r="M24" s="730" t="str">
        <v/>
      </c>
      <c r="O24" s="753" t="str">
        <v>Haïti</v>
      </c>
      <c r="P24" s="198">
        <v>0</v>
      </c>
      <c r="Q24" s="198">
        <v>0</v>
      </c>
      <c r="R24" s="733">
        <v>0</v>
      </c>
      <c r="S24" s="735" t="str">
        <f>Language!$E$197</f>
        <v xml:space="preserve"> : </v>
      </c>
      <c r="T24" s="747">
        <f t="shared" si="8"/>
        <v>0</v>
      </c>
      <c r="U24" s="744" t="str">
        <v/>
      </c>
      <c r="V24" s="198" t="str">
        <v/>
      </c>
      <c r="W24" s="729" t="str">
        <v/>
      </c>
      <c r="X24" s="730" t="str">
        <v/>
      </c>
      <c r="Z24" s="753" t="str">
        <v/>
      </c>
      <c r="AA24" s="198" t="str">
        <v/>
      </c>
      <c r="AB24" s="198" t="str">
        <v/>
      </c>
      <c r="AC24" s="733" t="str">
        <v/>
      </c>
      <c r="AD24" s="735" t="str">
        <f>Language!$E$197</f>
        <v xml:space="preserve"> : </v>
      </c>
      <c r="AE24" s="747" t="str">
        <f t="shared" si="9"/>
        <v/>
      </c>
      <c r="AF24" s="744" t="str">
        <v/>
      </c>
      <c r="AG24" s="198" t="str">
        <v/>
      </c>
      <c r="AH24" s="729" t="str">
        <v/>
      </c>
      <c r="AI24" s="730" t="str">
        <v/>
      </c>
      <c r="AK24" s="753" t="str">
        <v/>
      </c>
      <c r="AL24" s="198" t="str">
        <v/>
      </c>
      <c r="AM24" s="198" t="str">
        <v/>
      </c>
      <c r="AN24" s="733" t="str">
        <v/>
      </c>
      <c r="AO24" s="735" t="str">
        <f>Language!$E$197</f>
        <v xml:space="preserve"> : </v>
      </c>
      <c r="AP24" s="747" t="str">
        <f t="shared" si="10"/>
        <v/>
      </c>
      <c r="AQ24" s="744" t="str">
        <v/>
      </c>
      <c r="AR24" s="198" t="str">
        <v/>
      </c>
      <c r="AS24" s="729" t="str">
        <v/>
      </c>
      <c r="AT24" s="730" t="str">
        <v/>
      </c>
      <c r="AV24" s="765">
        <v>0</v>
      </c>
      <c r="AW24" s="730">
        <v>83</v>
      </c>
    </row>
    <row r="25" spans="2:49" ht="15" thickBot="1">
      <c r="B25" s="757" t="str">
        <v/>
      </c>
      <c r="D25" s="754" t="str">
        <v>Schotland</v>
      </c>
      <c r="E25" s="731">
        <v>0</v>
      </c>
      <c r="F25" s="731">
        <f t="shared" si="11"/>
        <v>0</v>
      </c>
      <c r="G25" s="734">
        <v>0</v>
      </c>
      <c r="H25" s="736" t="str">
        <f>Language!$E$197</f>
        <v xml:space="preserve"> : </v>
      </c>
      <c r="I25" s="748">
        <v>0</v>
      </c>
      <c r="J25" s="745" t="str">
        <v/>
      </c>
      <c r="K25" s="731" t="str">
        <v/>
      </c>
      <c r="L25" s="731" t="str">
        <v/>
      </c>
      <c r="M25" s="732" t="str">
        <v/>
      </c>
      <c r="O25" s="754" t="str">
        <v>Schotland</v>
      </c>
      <c r="P25" s="731">
        <v>0</v>
      </c>
      <c r="Q25" s="731">
        <v>0</v>
      </c>
      <c r="R25" s="734">
        <v>0</v>
      </c>
      <c r="S25" s="736" t="str">
        <f>Language!$E$197</f>
        <v xml:space="preserve"> : </v>
      </c>
      <c r="T25" s="748">
        <f t="shared" si="8"/>
        <v>0</v>
      </c>
      <c r="U25" s="745" t="str">
        <v/>
      </c>
      <c r="V25" s="731" t="str">
        <v/>
      </c>
      <c r="W25" s="731" t="str">
        <v/>
      </c>
      <c r="X25" s="732" t="str">
        <v/>
      </c>
      <c r="Z25" s="754" t="str">
        <v/>
      </c>
      <c r="AA25" s="731" t="str">
        <v/>
      </c>
      <c r="AB25" s="731" t="str">
        <v/>
      </c>
      <c r="AC25" s="734" t="str">
        <v/>
      </c>
      <c r="AD25" s="736" t="str">
        <f>Language!$E$197</f>
        <v xml:space="preserve"> : </v>
      </c>
      <c r="AE25" s="748" t="str">
        <f t="shared" si="9"/>
        <v/>
      </c>
      <c r="AF25" s="745" t="str">
        <v/>
      </c>
      <c r="AG25" s="731" t="str">
        <v/>
      </c>
      <c r="AH25" s="731" t="str">
        <v/>
      </c>
      <c r="AI25" s="732" t="str">
        <v/>
      </c>
      <c r="AK25" s="754" t="str">
        <v/>
      </c>
      <c r="AL25" s="731" t="str">
        <v/>
      </c>
      <c r="AM25" s="731" t="str">
        <v/>
      </c>
      <c r="AN25" s="734" t="str">
        <v/>
      </c>
      <c r="AO25" s="736" t="str">
        <f>Language!$E$197</f>
        <v xml:space="preserve"> : </v>
      </c>
      <c r="AP25" s="748" t="str">
        <f t="shared" si="10"/>
        <v/>
      </c>
      <c r="AQ25" s="745" t="str">
        <v/>
      </c>
      <c r="AR25" s="731" t="str">
        <v/>
      </c>
      <c r="AS25" s="731" t="str">
        <v/>
      </c>
      <c r="AT25" s="732" t="str">
        <v/>
      </c>
      <c r="AV25" s="766">
        <v>0</v>
      </c>
      <c r="AW25" s="767">
        <v>43</v>
      </c>
    </row>
    <row r="26" spans="2:49" ht="15" thickTop="1"/>
    <row r="27" spans="2:49"/>
    <row r="28" spans="2:49" ht="15" thickBot="1">
      <c r="Z28" s="780" t="str">
        <f>IF(COUNTBLANK(CalcD!$BN$14:$BN$17)&lt;4,Language!$E$136,"")</f>
        <v/>
      </c>
      <c r="AK28" s="780" t="str">
        <f>IF(COUNTBLANK(CalcD!$BZ$14:$BZ$17)&lt;4,Language!$E$136,"")</f>
        <v/>
      </c>
    </row>
    <row r="29" spans="2:49" ht="24.5" thickTop="1">
      <c r="B29" s="755" t="s">
        <v>25</v>
      </c>
      <c r="C29" s="728"/>
      <c r="D29" s="739"/>
      <c r="E29" s="750" t="str">
        <f>Language!$E$131</f>
        <v>Ptn.</v>
      </c>
      <c r="F29" s="750" t="str">
        <f>Language!$E$132</f>
        <v>DS</v>
      </c>
      <c r="G29" s="843" t="str">
        <f>Language!$E$133</f>
        <v>Doelpunten</v>
      </c>
      <c r="H29" s="844"/>
      <c r="I29" s="844"/>
      <c r="J29" s="742" t="str">
        <f t="array" ref="J29:M29">LEFT(CalcD!$H$21:$K$21,$D$4)</f>
        <v>USA</v>
      </c>
      <c r="K29" s="740" t="str">
        <v>Paragua</v>
      </c>
      <c r="L29" s="740" t="str">
        <v>Austral</v>
      </c>
      <c r="M29" s="741" t="str">
        <v>Turkije</v>
      </c>
      <c r="O29" s="739"/>
      <c r="P29" s="750" t="str">
        <f>Language!$E$131</f>
        <v>Ptn.</v>
      </c>
      <c r="Q29" s="750" t="str">
        <f>Language!$E$132</f>
        <v>DS</v>
      </c>
      <c r="R29" s="843" t="str">
        <f>Language!$E$133</f>
        <v>Doelpunten</v>
      </c>
      <c r="S29" s="844"/>
      <c r="T29" s="844"/>
      <c r="U29" s="742" t="str">
        <f t="array" ref="U29:X29">LEFT(CalcD!$BE$13:$BH$13,$D$4)</f>
        <v>USA</v>
      </c>
      <c r="V29" s="740" t="str">
        <v>Paragua</v>
      </c>
      <c r="W29" s="740" t="str">
        <v>Austral</v>
      </c>
      <c r="X29" s="741" t="str">
        <v>Turkije</v>
      </c>
      <c r="Z29" s="739"/>
      <c r="AA29" s="750" t="str">
        <f>Language!$E$131</f>
        <v>Ptn.</v>
      </c>
      <c r="AB29" s="750" t="str">
        <f>Language!$E$132</f>
        <v>DS</v>
      </c>
      <c r="AC29" s="843" t="str">
        <f>Language!$E$133</f>
        <v>Doelpunten</v>
      </c>
      <c r="AD29" s="844"/>
      <c r="AE29" s="844"/>
      <c r="AF29" s="742" t="str">
        <f t="array" ref="AF29:AI29">IF(COUNTBLANK(CalcD!$AZ$22:$AZ$25)&lt;4,LEFT(CalcD!$BE$21:$BH$21,$D$4),LEFT(CalcD!$BS$13:$BV$13,$D$4))</f>
        <v/>
      </c>
      <c r="AG29" s="740" t="str">
        <v/>
      </c>
      <c r="AH29" s="740" t="str">
        <v/>
      </c>
      <c r="AI29" s="741" t="str">
        <v/>
      </c>
      <c r="AK29" s="739"/>
      <c r="AL29" s="750" t="str">
        <f>Language!$E$131</f>
        <v>Ptn.</v>
      </c>
      <c r="AM29" s="750" t="str">
        <f>Language!$E$132</f>
        <v>DS</v>
      </c>
      <c r="AN29" s="843" t="str">
        <f>Language!$E$133</f>
        <v>Doelpunten</v>
      </c>
      <c r="AO29" s="844"/>
      <c r="AP29" s="844"/>
      <c r="AQ29" s="742" t="str">
        <f t="array" ref="AQ29:AT29">LEFT(CalcD!$CE$13:$CH$13,$D$4)</f>
        <v/>
      </c>
      <c r="AR29" s="740" t="str">
        <v/>
      </c>
      <c r="AS29" s="740" t="str">
        <v/>
      </c>
      <c r="AT29" s="741" t="str">
        <v/>
      </c>
      <c r="AV29" s="762" t="str">
        <f>Language!$E$123</f>
        <v>Fair-Play</v>
      </c>
      <c r="AW29" s="763" t="str">
        <f>Language!$E$186</f>
        <v>FIFA-rank.</v>
      </c>
    </row>
    <row r="30" spans="2:49">
      <c r="B30" s="757" t="str">
        <f t="array" ref="B30:B33">IF(CalcD!$M$22:$M$25,"•","")</f>
        <v/>
      </c>
      <c r="D30" s="752" t="str">
        <f t="array" ref="D30:D33">CalcD!$D$22:$D$25</f>
        <v>USA</v>
      </c>
      <c r="E30" s="352">
        <f t="array" ref="E30:E33">CalcD!$E$22:$E$25</f>
        <v>0</v>
      </c>
      <c r="F30" s="352">
        <f>G30-I30</f>
        <v>0</v>
      </c>
      <c r="G30" s="737">
        <f t="array" ref="G30:G33">CalcD!$F$22:$F$25</f>
        <v>0</v>
      </c>
      <c r="H30" s="749" t="str">
        <f>Language!$E$197</f>
        <v xml:space="preserve"> : </v>
      </c>
      <c r="I30" s="746">
        <f t="array" ref="I30:I33">CalcD!$G$22:$G$25</f>
        <v>0</v>
      </c>
      <c r="J30" s="743" t="str">
        <f t="array" ref="J30:M33">CalcD!$H$22:$K$25</f>
        <v/>
      </c>
      <c r="K30" s="352" t="str">
        <v/>
      </c>
      <c r="L30" s="352" t="str">
        <v/>
      </c>
      <c r="M30" s="738" t="str">
        <v/>
      </c>
      <c r="O30" s="752" t="str">
        <f t="array" ref="O30:O33">CalcD!$AZ$14:$AZ$17</f>
        <v>USA</v>
      </c>
      <c r="P30" s="352">
        <f t="array" ref="P30:P33">CalcD!$BA$14:$BA$17</f>
        <v>0</v>
      </c>
      <c r="Q30" s="352">
        <f t="array" ref="Q30:Q33">CalcD!$BB$14:$BB$17</f>
        <v>0</v>
      </c>
      <c r="R30" s="737">
        <f t="array" ref="R30:R33">CalcD!$BC$14:$BC$17</f>
        <v>0</v>
      </c>
      <c r="S30" s="749" t="str">
        <f>Language!$E$197</f>
        <v xml:space="preserve"> : </v>
      </c>
      <c r="T30" s="746">
        <f t="shared" ref="T30:T33" si="12">IF(O30="","",R30-Q30)</f>
        <v>0</v>
      </c>
      <c r="U30" s="743" t="str">
        <f t="array" ref="U30:X33">CalcD!$BE$14:$BH$17</f>
        <v/>
      </c>
      <c r="V30" s="352" t="str">
        <v/>
      </c>
      <c r="W30" s="352" t="str">
        <v/>
      </c>
      <c r="X30" s="738" t="str">
        <v/>
      </c>
      <c r="Z30" s="752" t="str">
        <f t="array" ref="Z30:Z33">IF(COUNTBLANK(CalcD!$AZ$22:$AZ$25)&lt;4,CalcD!$AZ$22:$AZ$25,CalcD!$BN$14:$BN$17)</f>
        <v/>
      </c>
      <c r="AA30" s="352" t="str">
        <f t="array" ref="AA30:AA33">IF(COUNTBLANK(CalcD!$AZ$22:$AZ$25)&lt;4,CalcD!$BA$22:$BA$25,CalcD!$BO$14:$BO$17)</f>
        <v/>
      </c>
      <c r="AB30" s="352" t="str">
        <f t="array" ref="AB30:AB33">IF(COUNTBLANK(CalcD!$AZ$22:$AZ$25)&lt;4,CalcD!$BB$22:$BB$25,CalcD!$BP$14:$BP$17)</f>
        <v/>
      </c>
      <c r="AC30" s="737" t="str">
        <f t="array" ref="AC30:AC33">IF(COUNTBLANK(CalcD!$AZ$22:$AZ$25)&lt;4,CalcD!$BC$22:$BC$25,CalcD!$BQ$14:$BQ$17)</f>
        <v/>
      </c>
      <c r="AD30" s="749" t="str">
        <f>Language!$E$197</f>
        <v xml:space="preserve"> : </v>
      </c>
      <c r="AE30" s="746" t="str">
        <f t="shared" ref="AE30:AE33" si="13">IF(Z30="","",AC30-AB30)</f>
        <v/>
      </c>
      <c r="AF30" s="743" t="str">
        <f t="array" ref="AF30:AI33">IF(COUNTBLANK(CalcD!$AZ$22:$AZ$25)&lt;4,CalcD!$BE$22:$BH$25,CalcD!$BS$14:$BV$17)</f>
        <v/>
      </c>
      <c r="AG30" s="352" t="str">
        <v/>
      </c>
      <c r="AH30" s="352" t="str">
        <v/>
      </c>
      <c r="AI30" s="738" t="str">
        <v/>
      </c>
      <c r="AK30" s="752" t="str">
        <f t="array" ref="AK30:AK33">CalcD!$BZ$14:$BZ$17</f>
        <v/>
      </c>
      <c r="AL30" s="352" t="str">
        <f t="array" ref="AL30:AL33">CalcD!$CA$14:$CA$17</f>
        <v/>
      </c>
      <c r="AM30" s="352" t="str">
        <f t="array" ref="AM30:AM33">CalcD!$CB$14:$CB$17</f>
        <v/>
      </c>
      <c r="AN30" s="737" t="str">
        <f t="array" ref="AN30:AN33">CalcD!$CC$14:$CC$17</f>
        <v/>
      </c>
      <c r="AO30" s="749" t="str">
        <f>Language!$E$197</f>
        <v xml:space="preserve"> : </v>
      </c>
      <c r="AP30" s="746" t="str">
        <f t="shared" ref="AP30:AP33" si="14">IF(AK30="","",AN30-AM30)</f>
        <v/>
      </c>
      <c r="AQ30" s="743" t="str">
        <f t="array" ref="AQ30:AT33">CalcD!$CE$14:$CH$17</f>
        <v/>
      </c>
      <c r="AR30" s="352" t="str">
        <v/>
      </c>
      <c r="AS30" s="352" t="str">
        <v/>
      </c>
      <c r="AT30" s="738" t="str">
        <v/>
      </c>
      <c r="AV30" s="764">
        <f t="array" ref="AV30:AV33">VLOOKUP($D30:$D33,CalcD!$D$5:$P$8,13,0)</f>
        <v>0</v>
      </c>
      <c r="AW30" s="738">
        <f t="array" ref="AW30:AW33">VLOOKUP($D30:$D33,CalcD!$D$5:$Q$8,14,0)</f>
        <v>16</v>
      </c>
    </row>
    <row r="31" spans="2:49">
      <c r="B31" s="757" t="str">
        <v/>
      </c>
      <c r="D31" s="753" t="str">
        <v>Paraguay</v>
      </c>
      <c r="E31" s="198">
        <v>0</v>
      </c>
      <c r="F31" s="198">
        <f t="shared" ref="F31:F33" si="15">G31-I31</f>
        <v>0</v>
      </c>
      <c r="G31" s="733">
        <v>0</v>
      </c>
      <c r="H31" s="735" t="str">
        <f>Language!$E$197</f>
        <v xml:space="preserve"> : </v>
      </c>
      <c r="I31" s="747">
        <v>0</v>
      </c>
      <c r="J31" s="744" t="str">
        <v/>
      </c>
      <c r="K31" s="729" t="str">
        <v/>
      </c>
      <c r="L31" s="198" t="str">
        <v/>
      </c>
      <c r="M31" s="730" t="str">
        <v/>
      </c>
      <c r="O31" s="753" t="str">
        <v>Paraguay</v>
      </c>
      <c r="P31" s="198">
        <v>0</v>
      </c>
      <c r="Q31" s="198">
        <v>0</v>
      </c>
      <c r="R31" s="733">
        <v>0</v>
      </c>
      <c r="S31" s="735" t="str">
        <f>Language!$E$197</f>
        <v xml:space="preserve"> : </v>
      </c>
      <c r="T31" s="747">
        <f t="shared" si="12"/>
        <v>0</v>
      </c>
      <c r="U31" s="744" t="str">
        <v/>
      </c>
      <c r="V31" s="729" t="str">
        <v/>
      </c>
      <c r="W31" s="198" t="str">
        <v/>
      </c>
      <c r="X31" s="730" t="str">
        <v/>
      </c>
      <c r="Z31" s="753" t="str">
        <v/>
      </c>
      <c r="AA31" s="198" t="str">
        <v/>
      </c>
      <c r="AB31" s="198" t="str">
        <v/>
      </c>
      <c r="AC31" s="733" t="str">
        <v/>
      </c>
      <c r="AD31" s="735" t="str">
        <f>Language!$E$197</f>
        <v xml:space="preserve"> : </v>
      </c>
      <c r="AE31" s="747" t="str">
        <f t="shared" si="13"/>
        <v/>
      </c>
      <c r="AF31" s="744" t="str">
        <v/>
      </c>
      <c r="AG31" s="729" t="str">
        <v/>
      </c>
      <c r="AH31" s="198" t="str">
        <v/>
      </c>
      <c r="AI31" s="730" t="str">
        <v/>
      </c>
      <c r="AK31" s="753" t="str">
        <v/>
      </c>
      <c r="AL31" s="198" t="str">
        <v/>
      </c>
      <c r="AM31" s="198" t="str">
        <v/>
      </c>
      <c r="AN31" s="733" t="str">
        <v/>
      </c>
      <c r="AO31" s="735" t="str">
        <f>Language!$E$197</f>
        <v xml:space="preserve"> : </v>
      </c>
      <c r="AP31" s="747" t="str">
        <f t="shared" si="14"/>
        <v/>
      </c>
      <c r="AQ31" s="744" t="str">
        <v/>
      </c>
      <c r="AR31" s="729" t="str">
        <v/>
      </c>
      <c r="AS31" s="198" t="str">
        <v/>
      </c>
      <c r="AT31" s="730" t="str">
        <v/>
      </c>
      <c r="AV31" s="765">
        <v>0</v>
      </c>
      <c r="AW31" s="730">
        <v>40</v>
      </c>
    </row>
    <row r="32" spans="2:49">
      <c r="B32" s="757" t="str">
        <v/>
      </c>
      <c r="D32" s="753" t="str">
        <v>Australië</v>
      </c>
      <c r="E32" s="198">
        <v>0</v>
      </c>
      <c r="F32" s="198">
        <f t="shared" si="15"/>
        <v>0</v>
      </c>
      <c r="G32" s="733">
        <v>0</v>
      </c>
      <c r="H32" s="735" t="str">
        <f>Language!$E$197</f>
        <v xml:space="preserve"> : </v>
      </c>
      <c r="I32" s="747">
        <v>0</v>
      </c>
      <c r="J32" s="744" t="str">
        <v/>
      </c>
      <c r="K32" s="198" t="str">
        <v/>
      </c>
      <c r="L32" s="729" t="str">
        <v/>
      </c>
      <c r="M32" s="730" t="str">
        <v/>
      </c>
      <c r="O32" s="753" t="str">
        <v>Australië</v>
      </c>
      <c r="P32" s="198">
        <v>0</v>
      </c>
      <c r="Q32" s="198">
        <v>0</v>
      </c>
      <c r="R32" s="733">
        <v>0</v>
      </c>
      <c r="S32" s="735" t="str">
        <f>Language!$E$197</f>
        <v xml:space="preserve"> : </v>
      </c>
      <c r="T32" s="747">
        <f t="shared" si="12"/>
        <v>0</v>
      </c>
      <c r="U32" s="744" t="str">
        <v/>
      </c>
      <c r="V32" s="198" t="str">
        <v/>
      </c>
      <c r="W32" s="729" t="str">
        <v/>
      </c>
      <c r="X32" s="730" t="str">
        <v/>
      </c>
      <c r="Z32" s="753" t="str">
        <v/>
      </c>
      <c r="AA32" s="198" t="str">
        <v/>
      </c>
      <c r="AB32" s="198" t="str">
        <v/>
      </c>
      <c r="AC32" s="733" t="str">
        <v/>
      </c>
      <c r="AD32" s="735" t="str">
        <f>Language!$E$197</f>
        <v xml:space="preserve"> : </v>
      </c>
      <c r="AE32" s="747" t="str">
        <f t="shared" si="13"/>
        <v/>
      </c>
      <c r="AF32" s="744" t="str">
        <v/>
      </c>
      <c r="AG32" s="198" t="str">
        <v/>
      </c>
      <c r="AH32" s="729" t="str">
        <v/>
      </c>
      <c r="AI32" s="730" t="str">
        <v/>
      </c>
      <c r="AK32" s="753" t="str">
        <v/>
      </c>
      <c r="AL32" s="198" t="str">
        <v/>
      </c>
      <c r="AM32" s="198" t="str">
        <v/>
      </c>
      <c r="AN32" s="733" t="str">
        <v/>
      </c>
      <c r="AO32" s="735" t="str">
        <f>Language!$E$197</f>
        <v xml:space="preserve"> : </v>
      </c>
      <c r="AP32" s="747" t="str">
        <f t="shared" si="14"/>
        <v/>
      </c>
      <c r="AQ32" s="744" t="str">
        <v/>
      </c>
      <c r="AR32" s="198" t="str">
        <v/>
      </c>
      <c r="AS32" s="729" t="str">
        <v/>
      </c>
      <c r="AT32" s="730" t="str">
        <v/>
      </c>
      <c r="AV32" s="765">
        <v>0</v>
      </c>
      <c r="AW32" s="730">
        <v>27</v>
      </c>
    </row>
    <row r="33" spans="2:49" ht="15" thickBot="1">
      <c r="B33" s="757" t="str">
        <v/>
      </c>
      <c r="D33" s="754" t="str">
        <v>Turkije</v>
      </c>
      <c r="E33" s="731">
        <v>0</v>
      </c>
      <c r="F33" s="731">
        <f t="shared" si="15"/>
        <v>0</v>
      </c>
      <c r="G33" s="734">
        <v>0</v>
      </c>
      <c r="H33" s="736" t="str">
        <f>Language!$E$197</f>
        <v xml:space="preserve"> : </v>
      </c>
      <c r="I33" s="748">
        <v>0</v>
      </c>
      <c r="J33" s="745" t="str">
        <v/>
      </c>
      <c r="K33" s="731" t="str">
        <v/>
      </c>
      <c r="L33" s="731" t="str">
        <v/>
      </c>
      <c r="M33" s="732" t="str">
        <v/>
      </c>
      <c r="O33" s="754" t="str">
        <v>Turkije</v>
      </c>
      <c r="P33" s="731">
        <v>0</v>
      </c>
      <c r="Q33" s="731">
        <v>0</v>
      </c>
      <c r="R33" s="734">
        <v>0</v>
      </c>
      <c r="S33" s="736" t="str">
        <f>Language!$E$197</f>
        <v xml:space="preserve"> : </v>
      </c>
      <c r="T33" s="748">
        <f t="shared" si="12"/>
        <v>0</v>
      </c>
      <c r="U33" s="745" t="str">
        <v/>
      </c>
      <c r="V33" s="731" t="str">
        <v/>
      </c>
      <c r="W33" s="731" t="str">
        <v/>
      </c>
      <c r="X33" s="732" t="str">
        <v/>
      </c>
      <c r="Z33" s="754" t="str">
        <v/>
      </c>
      <c r="AA33" s="731" t="str">
        <v/>
      </c>
      <c r="AB33" s="731" t="str">
        <v/>
      </c>
      <c r="AC33" s="734" t="str">
        <v/>
      </c>
      <c r="AD33" s="736" t="str">
        <f>Language!$E$197</f>
        <v xml:space="preserve"> : </v>
      </c>
      <c r="AE33" s="748" t="str">
        <f t="shared" si="13"/>
        <v/>
      </c>
      <c r="AF33" s="745" t="str">
        <v/>
      </c>
      <c r="AG33" s="731" t="str">
        <v/>
      </c>
      <c r="AH33" s="731" t="str">
        <v/>
      </c>
      <c r="AI33" s="732" t="str">
        <v/>
      </c>
      <c r="AK33" s="754" t="str">
        <v/>
      </c>
      <c r="AL33" s="731" t="str">
        <v/>
      </c>
      <c r="AM33" s="731" t="str">
        <v/>
      </c>
      <c r="AN33" s="734" t="str">
        <v/>
      </c>
      <c r="AO33" s="736" t="str">
        <f>Language!$E$197</f>
        <v xml:space="preserve"> : </v>
      </c>
      <c r="AP33" s="748" t="str">
        <f t="shared" si="14"/>
        <v/>
      </c>
      <c r="AQ33" s="745" t="str">
        <v/>
      </c>
      <c r="AR33" s="731" t="str">
        <v/>
      </c>
      <c r="AS33" s="731" t="str">
        <v/>
      </c>
      <c r="AT33" s="732" t="str">
        <v/>
      </c>
      <c r="AV33" s="766">
        <v>0</v>
      </c>
      <c r="AW33" s="767">
        <v>22</v>
      </c>
    </row>
    <row r="34" spans="2:49" ht="15" thickTop="1"/>
    <row r="35" spans="2:49"/>
    <row r="36" spans="2:49" ht="15" thickBot="1">
      <c r="Z36" s="780" t="str">
        <f>IF(COUNTBLANK(CalcE!$BN$14:$BN$17)&lt;4,Language!$E$136,"")</f>
        <v/>
      </c>
      <c r="AK36" s="780" t="str">
        <f>IF(COUNTBLANK(CalcE!$BZ$14:$BZ$17)&lt;4,Language!$E$136,"")</f>
        <v/>
      </c>
    </row>
    <row r="37" spans="2:49" ht="24.5" thickTop="1">
      <c r="B37" s="755" t="s">
        <v>22</v>
      </c>
      <c r="C37" s="728"/>
      <c r="D37" s="739"/>
      <c r="E37" s="750" t="str">
        <f>Language!$E$131</f>
        <v>Ptn.</v>
      </c>
      <c r="F37" s="750" t="str">
        <f>Language!$E$132</f>
        <v>DS</v>
      </c>
      <c r="G37" s="843" t="str">
        <f>Language!$E$133</f>
        <v>Doelpunten</v>
      </c>
      <c r="H37" s="844"/>
      <c r="I37" s="844"/>
      <c r="J37" s="742" t="str">
        <f t="array" ref="J37:M37">LEFT(CalcE!$H$21:$K$21,$D$4)</f>
        <v>Duitsla</v>
      </c>
      <c r="K37" s="740" t="str">
        <v>Curacao</v>
      </c>
      <c r="L37" s="740" t="str">
        <v>Ivoorku</v>
      </c>
      <c r="M37" s="741" t="str">
        <v>Ecuador</v>
      </c>
      <c r="O37" s="739"/>
      <c r="P37" s="750" t="str">
        <f>Language!$E$131</f>
        <v>Ptn.</v>
      </c>
      <c r="Q37" s="750" t="str">
        <f>Language!$E$132</f>
        <v>DS</v>
      </c>
      <c r="R37" s="843" t="str">
        <f>Language!$E$133</f>
        <v>Doelpunten</v>
      </c>
      <c r="S37" s="844"/>
      <c r="T37" s="844"/>
      <c r="U37" s="742" t="str">
        <f t="array" ref="U37:X37">LEFT(CalcE!$BE$13:$BH$13,$D$4)</f>
        <v>Duitsla</v>
      </c>
      <c r="V37" s="740" t="str">
        <v>Curacao</v>
      </c>
      <c r="W37" s="740" t="str">
        <v>Ivoorku</v>
      </c>
      <c r="X37" s="741" t="str">
        <v>Ecuador</v>
      </c>
      <c r="Z37" s="739"/>
      <c r="AA37" s="750" t="str">
        <f>Language!$E$131</f>
        <v>Ptn.</v>
      </c>
      <c r="AB37" s="750" t="str">
        <f>Language!$E$132</f>
        <v>DS</v>
      </c>
      <c r="AC37" s="843" t="str">
        <f>Language!$E$133</f>
        <v>Doelpunten</v>
      </c>
      <c r="AD37" s="844"/>
      <c r="AE37" s="844"/>
      <c r="AF37" s="742" t="str">
        <f t="array" ref="AF37:AI37">IF(COUNTBLANK(CalcE!$AZ$22:$AZ$25)&lt;4,LEFT(CalcE!$BE$21:$BH$21,$D$4),LEFT(CalcE!$BS$13:$BV$13,$D$4))</f>
        <v/>
      </c>
      <c r="AG37" s="740" t="str">
        <v/>
      </c>
      <c r="AH37" s="740" t="str">
        <v/>
      </c>
      <c r="AI37" s="741" t="str">
        <v/>
      </c>
      <c r="AK37" s="739"/>
      <c r="AL37" s="750" t="str">
        <f>Language!$E$131</f>
        <v>Ptn.</v>
      </c>
      <c r="AM37" s="750" t="str">
        <f>Language!$E$132</f>
        <v>DS</v>
      </c>
      <c r="AN37" s="843" t="str">
        <f>Language!$E$133</f>
        <v>Doelpunten</v>
      </c>
      <c r="AO37" s="844"/>
      <c r="AP37" s="844"/>
      <c r="AQ37" s="742" t="str">
        <f t="array" ref="AQ37:AT37">LEFT(CalcE!$CE$13:$CH$13,$D$4)</f>
        <v/>
      </c>
      <c r="AR37" s="740" t="str">
        <v/>
      </c>
      <c r="AS37" s="740" t="str">
        <v/>
      </c>
      <c r="AT37" s="741" t="str">
        <v/>
      </c>
      <c r="AV37" s="762" t="str">
        <f>Language!$E$123</f>
        <v>Fair-Play</v>
      </c>
      <c r="AW37" s="763" t="str">
        <f>Language!$E$186</f>
        <v>FIFA-rank.</v>
      </c>
    </row>
    <row r="38" spans="2:49">
      <c r="B38" s="757" t="str">
        <f t="array" ref="B38:B41">IF(CalcE!$M$22:$M$25,"•","")</f>
        <v/>
      </c>
      <c r="D38" s="752" t="str">
        <f t="array" ref="D38:D41">CalcE!$D$22:$D$25</f>
        <v>Duitsland</v>
      </c>
      <c r="E38" s="352">
        <f t="array" ref="E38:E41">CalcE!$E$22:$E$25</f>
        <v>0</v>
      </c>
      <c r="F38" s="352">
        <f>G38-I38</f>
        <v>0</v>
      </c>
      <c r="G38" s="737">
        <f t="array" ref="G38:G41">CalcE!$F$22:$F$25</f>
        <v>0</v>
      </c>
      <c r="H38" s="749" t="str">
        <f>Language!$E$197</f>
        <v xml:space="preserve"> : </v>
      </c>
      <c r="I38" s="746">
        <f t="array" ref="I38:I41">CalcE!$G$22:$G$25</f>
        <v>0</v>
      </c>
      <c r="J38" s="743" t="str">
        <f t="array" ref="J38:M41">CalcE!$H$22:$K$25</f>
        <v/>
      </c>
      <c r="K38" s="352" t="str">
        <v/>
      </c>
      <c r="L38" s="352" t="str">
        <v/>
      </c>
      <c r="M38" s="738" t="str">
        <v/>
      </c>
      <c r="O38" s="752" t="str">
        <f t="array" ref="O38:O41">CalcE!$AZ$14:$AZ$17</f>
        <v>Duitsland</v>
      </c>
      <c r="P38" s="352">
        <f t="array" ref="P38:P41">CalcE!$BA$14:$BA$17</f>
        <v>0</v>
      </c>
      <c r="Q38" s="352">
        <f t="array" ref="Q38:Q41">CalcE!$BB$14:$BB$17</f>
        <v>0</v>
      </c>
      <c r="R38" s="737">
        <f t="array" ref="R38:R41">CalcE!$BC$14:$BC$17</f>
        <v>0</v>
      </c>
      <c r="S38" s="749" t="str">
        <f>Language!$E$197</f>
        <v xml:space="preserve"> : </v>
      </c>
      <c r="T38" s="746">
        <f t="shared" ref="T38:T41" si="16">IF(O38="","",R38-Q38)</f>
        <v>0</v>
      </c>
      <c r="U38" s="743" t="str">
        <f t="array" ref="U38:X41">CalcE!$BE$14:$BH$17</f>
        <v/>
      </c>
      <c r="V38" s="352" t="str">
        <v/>
      </c>
      <c r="W38" s="352" t="str">
        <v/>
      </c>
      <c r="X38" s="738" t="str">
        <v/>
      </c>
      <c r="Z38" s="752" t="str">
        <f t="array" ref="Z38:Z41">IF(COUNTBLANK(CalcE!$AZ$22:$AZ$25)&lt;4,CalcE!$AZ$22:$AZ$25,CalcE!$BN$14:$BN$17)</f>
        <v/>
      </c>
      <c r="AA38" s="352" t="str">
        <f t="array" ref="AA38:AA41">IF(COUNTBLANK(CalcE!$AZ$22:$AZ$25)&lt;4,CalcE!$BA$22:$BA$25,CalcE!$BO$14:$BO$17)</f>
        <v/>
      </c>
      <c r="AB38" s="352" t="str">
        <f t="array" ref="AB38:AB41">IF(COUNTBLANK(CalcE!$AZ$22:$AZ$25)&lt;4,CalcE!$BB$22:$BB$25,CalcE!$BP$14:$BP$17)</f>
        <v/>
      </c>
      <c r="AC38" s="737" t="str">
        <f t="array" ref="AC38:AC41">IF(COUNTBLANK(CalcE!$AZ$22:$AZ$25)&lt;4,CalcE!$BC$22:$BC$25,CalcE!$BQ$14:$BQ$17)</f>
        <v/>
      </c>
      <c r="AD38" s="749" t="str">
        <f>Language!$E$197</f>
        <v xml:space="preserve"> : </v>
      </c>
      <c r="AE38" s="746" t="str">
        <f t="shared" ref="AE38:AE41" si="17">IF(Z38="","",AC38-AB38)</f>
        <v/>
      </c>
      <c r="AF38" s="743" t="str">
        <f t="array" ref="AF38:AI41">IF(COUNTBLANK(CalcE!$AZ$22:$AZ$25)&lt;4,CalcE!$BE$22:$BH$25,CalcE!$BS$14:$BV$17)</f>
        <v/>
      </c>
      <c r="AG38" s="352" t="str">
        <v/>
      </c>
      <c r="AH38" s="352" t="str">
        <v/>
      </c>
      <c r="AI38" s="738" t="str">
        <v/>
      </c>
      <c r="AK38" s="752" t="str">
        <f t="array" ref="AK38:AK41">CalcE!$BZ$14:$BZ$17</f>
        <v/>
      </c>
      <c r="AL38" s="352" t="str">
        <f t="array" ref="AL38:AL41">CalcE!$CA$14:$CA$17</f>
        <v/>
      </c>
      <c r="AM38" s="352" t="str">
        <f t="array" ref="AM38:AM41">CalcE!$CB$14:$CB$17</f>
        <v/>
      </c>
      <c r="AN38" s="737" t="str">
        <f t="array" ref="AN38:AN41">CalcE!$CC$14:$CC$17</f>
        <v/>
      </c>
      <c r="AO38" s="749" t="str">
        <f>Language!$E$197</f>
        <v xml:space="preserve"> : </v>
      </c>
      <c r="AP38" s="746" t="str">
        <f t="shared" ref="AP38:AP41" si="18">IF(AK38="","",AN38-AM38)</f>
        <v/>
      </c>
      <c r="AQ38" s="743" t="str">
        <f t="array" ref="AQ38:AT41">CalcE!$CE$14:$CH$17</f>
        <v/>
      </c>
      <c r="AR38" s="352" t="str">
        <v/>
      </c>
      <c r="AS38" s="352" t="str">
        <v/>
      </c>
      <c r="AT38" s="738" t="str">
        <v/>
      </c>
      <c r="AV38" s="764">
        <f t="array" ref="AV38:AV41">VLOOKUP($D38:$D41,CalcE!$D$5:$P$8,13,0)</f>
        <v>0</v>
      </c>
      <c r="AW38" s="738">
        <f t="array" ref="AW38:AW41">VLOOKUP($D38:$D41,CalcE!$D$5:$Q$8,14,0)</f>
        <v>10</v>
      </c>
    </row>
    <row r="39" spans="2:49">
      <c r="B39" s="757" t="str">
        <v/>
      </c>
      <c r="D39" s="753" t="str">
        <v>Curacao</v>
      </c>
      <c r="E39" s="198">
        <v>0</v>
      </c>
      <c r="F39" s="198">
        <f t="shared" ref="F39:F41" si="19">G39-I39</f>
        <v>0</v>
      </c>
      <c r="G39" s="733">
        <v>0</v>
      </c>
      <c r="H39" s="735" t="str">
        <f>Language!$E$197</f>
        <v xml:space="preserve"> : </v>
      </c>
      <c r="I39" s="747">
        <v>0</v>
      </c>
      <c r="J39" s="744" t="str">
        <v/>
      </c>
      <c r="K39" s="729" t="str">
        <v/>
      </c>
      <c r="L39" s="198" t="str">
        <v/>
      </c>
      <c r="M39" s="730" t="str">
        <v/>
      </c>
      <c r="O39" s="753" t="str">
        <v>Curacao</v>
      </c>
      <c r="P39" s="198">
        <v>0</v>
      </c>
      <c r="Q39" s="198">
        <v>0</v>
      </c>
      <c r="R39" s="733">
        <v>0</v>
      </c>
      <c r="S39" s="735" t="str">
        <f>Language!$E$197</f>
        <v xml:space="preserve"> : </v>
      </c>
      <c r="T39" s="747">
        <f t="shared" si="16"/>
        <v>0</v>
      </c>
      <c r="U39" s="744" t="str">
        <v/>
      </c>
      <c r="V39" s="729" t="str">
        <v/>
      </c>
      <c r="W39" s="198" t="str">
        <v/>
      </c>
      <c r="X39" s="730" t="str">
        <v/>
      </c>
      <c r="Z39" s="753" t="str">
        <v/>
      </c>
      <c r="AA39" s="198" t="str">
        <v/>
      </c>
      <c r="AB39" s="198" t="str">
        <v/>
      </c>
      <c r="AC39" s="733" t="str">
        <v/>
      </c>
      <c r="AD39" s="735" t="str">
        <f>Language!$E$197</f>
        <v xml:space="preserve"> : </v>
      </c>
      <c r="AE39" s="747" t="str">
        <f t="shared" si="17"/>
        <v/>
      </c>
      <c r="AF39" s="744" t="str">
        <v/>
      </c>
      <c r="AG39" s="729" t="str">
        <v/>
      </c>
      <c r="AH39" s="198" t="str">
        <v/>
      </c>
      <c r="AI39" s="730" t="str">
        <v/>
      </c>
      <c r="AK39" s="753" t="str">
        <v/>
      </c>
      <c r="AL39" s="198" t="str">
        <v/>
      </c>
      <c r="AM39" s="198" t="str">
        <v/>
      </c>
      <c r="AN39" s="733" t="str">
        <v/>
      </c>
      <c r="AO39" s="735" t="str">
        <f>Language!$E$197</f>
        <v xml:space="preserve"> : </v>
      </c>
      <c r="AP39" s="747" t="str">
        <f t="shared" si="18"/>
        <v/>
      </c>
      <c r="AQ39" s="744" t="str">
        <v/>
      </c>
      <c r="AR39" s="729" t="str">
        <v/>
      </c>
      <c r="AS39" s="198" t="str">
        <v/>
      </c>
      <c r="AT39" s="730" t="str">
        <v/>
      </c>
      <c r="AV39" s="765">
        <v>0</v>
      </c>
      <c r="AW39" s="730">
        <v>82</v>
      </c>
    </row>
    <row r="40" spans="2:49">
      <c r="B40" s="757" t="str">
        <v/>
      </c>
      <c r="D40" s="753" t="str">
        <v>Ivoorkust</v>
      </c>
      <c r="E40" s="198">
        <v>0</v>
      </c>
      <c r="F40" s="198">
        <f t="shared" si="19"/>
        <v>0</v>
      </c>
      <c r="G40" s="733">
        <v>0</v>
      </c>
      <c r="H40" s="735" t="str">
        <f>Language!$E$197</f>
        <v xml:space="preserve"> : </v>
      </c>
      <c r="I40" s="747">
        <v>0</v>
      </c>
      <c r="J40" s="744" t="str">
        <v/>
      </c>
      <c r="K40" s="198" t="str">
        <v/>
      </c>
      <c r="L40" s="729" t="str">
        <v/>
      </c>
      <c r="M40" s="730" t="str">
        <v/>
      </c>
      <c r="O40" s="753" t="str">
        <v>Ivoorkust</v>
      </c>
      <c r="P40" s="198">
        <v>0</v>
      </c>
      <c r="Q40" s="198">
        <v>0</v>
      </c>
      <c r="R40" s="733">
        <v>0</v>
      </c>
      <c r="S40" s="735" t="str">
        <f>Language!$E$197</f>
        <v xml:space="preserve"> : </v>
      </c>
      <c r="T40" s="747">
        <f t="shared" si="16"/>
        <v>0</v>
      </c>
      <c r="U40" s="744" t="str">
        <v/>
      </c>
      <c r="V40" s="198" t="str">
        <v/>
      </c>
      <c r="W40" s="729" t="str">
        <v/>
      </c>
      <c r="X40" s="730" t="str">
        <v/>
      </c>
      <c r="Z40" s="753" t="str">
        <v/>
      </c>
      <c r="AA40" s="198" t="str">
        <v/>
      </c>
      <c r="AB40" s="198" t="str">
        <v/>
      </c>
      <c r="AC40" s="733" t="str">
        <v/>
      </c>
      <c r="AD40" s="735" t="str">
        <f>Language!$E$197</f>
        <v xml:space="preserve"> : </v>
      </c>
      <c r="AE40" s="747" t="str">
        <f t="shared" si="17"/>
        <v/>
      </c>
      <c r="AF40" s="744" t="str">
        <v/>
      </c>
      <c r="AG40" s="198" t="str">
        <v/>
      </c>
      <c r="AH40" s="729" t="str">
        <v/>
      </c>
      <c r="AI40" s="730" t="str">
        <v/>
      </c>
      <c r="AK40" s="753" t="str">
        <v/>
      </c>
      <c r="AL40" s="198" t="str">
        <v/>
      </c>
      <c r="AM40" s="198" t="str">
        <v/>
      </c>
      <c r="AN40" s="733" t="str">
        <v/>
      </c>
      <c r="AO40" s="735" t="str">
        <f>Language!$E$197</f>
        <v xml:space="preserve"> : </v>
      </c>
      <c r="AP40" s="747" t="str">
        <f t="shared" si="18"/>
        <v/>
      </c>
      <c r="AQ40" s="744" t="str">
        <v/>
      </c>
      <c r="AR40" s="198" t="str">
        <v/>
      </c>
      <c r="AS40" s="729" t="str">
        <v/>
      </c>
      <c r="AT40" s="730" t="str">
        <v/>
      </c>
      <c r="AV40" s="765">
        <v>0</v>
      </c>
      <c r="AW40" s="730">
        <v>34</v>
      </c>
    </row>
    <row r="41" spans="2:49" ht="15" thickBot="1">
      <c r="B41" s="757" t="str">
        <v/>
      </c>
      <c r="D41" s="754" t="str">
        <v>Ecuador</v>
      </c>
      <c r="E41" s="731">
        <v>0</v>
      </c>
      <c r="F41" s="731">
        <f t="shared" si="19"/>
        <v>0</v>
      </c>
      <c r="G41" s="734">
        <v>0</v>
      </c>
      <c r="H41" s="736" t="str">
        <f>Language!$E$197</f>
        <v xml:space="preserve"> : </v>
      </c>
      <c r="I41" s="748">
        <v>0</v>
      </c>
      <c r="J41" s="745" t="str">
        <v/>
      </c>
      <c r="K41" s="731" t="str">
        <v/>
      </c>
      <c r="L41" s="731" t="str">
        <v/>
      </c>
      <c r="M41" s="732" t="str">
        <v/>
      </c>
      <c r="O41" s="754" t="str">
        <v>Ecuador</v>
      </c>
      <c r="P41" s="731">
        <v>0</v>
      </c>
      <c r="Q41" s="731">
        <v>0</v>
      </c>
      <c r="R41" s="734">
        <v>0</v>
      </c>
      <c r="S41" s="736" t="str">
        <f>Language!$E$197</f>
        <v xml:space="preserve"> : </v>
      </c>
      <c r="T41" s="748">
        <f t="shared" si="16"/>
        <v>0</v>
      </c>
      <c r="U41" s="745" t="str">
        <v/>
      </c>
      <c r="V41" s="731" t="str">
        <v/>
      </c>
      <c r="W41" s="731" t="str">
        <v/>
      </c>
      <c r="X41" s="732" t="str">
        <v/>
      </c>
      <c r="Z41" s="754" t="str">
        <v/>
      </c>
      <c r="AA41" s="731" t="str">
        <v/>
      </c>
      <c r="AB41" s="731" t="str">
        <v/>
      </c>
      <c r="AC41" s="734" t="str">
        <v/>
      </c>
      <c r="AD41" s="736" t="str">
        <f>Language!$E$197</f>
        <v xml:space="preserve"> : </v>
      </c>
      <c r="AE41" s="748" t="str">
        <f t="shared" si="17"/>
        <v/>
      </c>
      <c r="AF41" s="745" t="str">
        <v/>
      </c>
      <c r="AG41" s="731" t="str">
        <v/>
      </c>
      <c r="AH41" s="731" t="str">
        <v/>
      </c>
      <c r="AI41" s="732" t="str">
        <v/>
      </c>
      <c r="AK41" s="754" t="str">
        <v/>
      </c>
      <c r="AL41" s="731" t="str">
        <v/>
      </c>
      <c r="AM41" s="731" t="str">
        <v/>
      </c>
      <c r="AN41" s="734" t="str">
        <v/>
      </c>
      <c r="AO41" s="736" t="str">
        <f>Language!$E$197</f>
        <v xml:space="preserve"> : </v>
      </c>
      <c r="AP41" s="748" t="str">
        <f t="shared" si="18"/>
        <v/>
      </c>
      <c r="AQ41" s="745" t="str">
        <v/>
      </c>
      <c r="AR41" s="731" t="str">
        <v/>
      </c>
      <c r="AS41" s="731" t="str">
        <v/>
      </c>
      <c r="AT41" s="732" t="str">
        <v/>
      </c>
      <c r="AV41" s="766">
        <v>0</v>
      </c>
      <c r="AW41" s="767">
        <v>23</v>
      </c>
    </row>
    <row r="42" spans="2:49" ht="15" thickTop="1"/>
    <row r="43" spans="2:49"/>
    <row r="44" spans="2:49" ht="15" thickBot="1">
      <c r="Z44" s="780" t="str">
        <f>IF(COUNTBLANK(CalcF!$BN$14:$BN$17)&lt;4,Language!$E$136,"")</f>
        <v/>
      </c>
      <c r="AK44" s="780" t="str">
        <f>IF(COUNTBLANK(CalcF!$BZ$14:$BZ$17)&lt;4,Language!$E$136,"")</f>
        <v/>
      </c>
    </row>
    <row r="45" spans="2:49" ht="24.5" thickTop="1">
      <c r="B45" s="755" t="s">
        <v>23</v>
      </c>
      <c r="C45" s="728"/>
      <c r="D45" s="739"/>
      <c r="E45" s="750" t="str">
        <f>Language!$E$131</f>
        <v>Ptn.</v>
      </c>
      <c r="F45" s="750" t="str">
        <f>Language!$E$132</f>
        <v>DS</v>
      </c>
      <c r="G45" s="843" t="str">
        <f>Language!$E$133</f>
        <v>Doelpunten</v>
      </c>
      <c r="H45" s="844"/>
      <c r="I45" s="844"/>
      <c r="J45" s="742" t="str">
        <f t="array" ref="J45:M45">LEFT(CalcF!$H$21:$K$21,$D$4)</f>
        <v>Nederla</v>
      </c>
      <c r="K45" s="740" t="str">
        <v>Japan</v>
      </c>
      <c r="L45" s="740" t="str">
        <v>Zweden</v>
      </c>
      <c r="M45" s="741" t="str">
        <v>Tunesië</v>
      </c>
      <c r="O45" s="739"/>
      <c r="P45" s="750" t="str">
        <f>Language!$E$131</f>
        <v>Ptn.</v>
      </c>
      <c r="Q45" s="750" t="str">
        <f>Language!$E$132</f>
        <v>DS</v>
      </c>
      <c r="R45" s="843" t="str">
        <f>Language!$E$133</f>
        <v>Doelpunten</v>
      </c>
      <c r="S45" s="844"/>
      <c r="T45" s="844"/>
      <c r="U45" s="742" t="str">
        <f t="array" ref="U45:X45">LEFT(CalcF!$BE$13:$BH$13,$D$4)</f>
        <v>Nederla</v>
      </c>
      <c r="V45" s="740" t="str">
        <v>Japan</v>
      </c>
      <c r="W45" s="740" t="str">
        <v>Zweden</v>
      </c>
      <c r="X45" s="741" t="str">
        <v>Tunesië</v>
      </c>
      <c r="Z45" s="739"/>
      <c r="AA45" s="750" t="str">
        <f>Language!$E$131</f>
        <v>Ptn.</v>
      </c>
      <c r="AB45" s="750" t="str">
        <f>Language!$E$132</f>
        <v>DS</v>
      </c>
      <c r="AC45" s="843" t="str">
        <f>Language!$E$133</f>
        <v>Doelpunten</v>
      </c>
      <c r="AD45" s="844"/>
      <c r="AE45" s="844"/>
      <c r="AF45" s="742" t="str">
        <f t="array" ref="AF45:AI45">IF(COUNTBLANK(CalcF!$AZ$22:$AZ$25)&lt;4,LEFT(CalcF!$BE$21:$BH$21,$D$4),LEFT(CalcF!$BS$13:$BV$13,$D$4))</f>
        <v/>
      </c>
      <c r="AG45" s="740" t="str">
        <v/>
      </c>
      <c r="AH45" s="740" t="str">
        <v/>
      </c>
      <c r="AI45" s="741" t="str">
        <v/>
      </c>
      <c r="AK45" s="739"/>
      <c r="AL45" s="750" t="str">
        <f>Language!$E$131</f>
        <v>Ptn.</v>
      </c>
      <c r="AM45" s="750" t="str">
        <f>Language!$E$132</f>
        <v>DS</v>
      </c>
      <c r="AN45" s="843" t="str">
        <f>Language!$E$133</f>
        <v>Doelpunten</v>
      </c>
      <c r="AO45" s="844"/>
      <c r="AP45" s="844"/>
      <c r="AQ45" s="742" t="str">
        <f t="array" ref="AQ45:AT45">LEFT(CalcF!$CE$13:$CH$13,$D$4)</f>
        <v/>
      </c>
      <c r="AR45" s="740" t="str">
        <v/>
      </c>
      <c r="AS45" s="740" t="str">
        <v/>
      </c>
      <c r="AT45" s="741" t="str">
        <v/>
      </c>
      <c r="AV45" s="762" t="str">
        <f>Language!$E$123</f>
        <v>Fair-Play</v>
      </c>
      <c r="AW45" s="763" t="str">
        <f>Language!$E$186</f>
        <v>FIFA-rank.</v>
      </c>
    </row>
    <row r="46" spans="2:49">
      <c r="B46" s="757" t="str">
        <f t="array" ref="B46:B49">IF(CalcF!$M$22:$M$25,"•","")</f>
        <v/>
      </c>
      <c r="D46" s="752" t="str">
        <f t="array" ref="D46:D49">CalcF!$D$22:$D$25</f>
        <v>Nederland</v>
      </c>
      <c r="E46" s="352">
        <f t="array" ref="E46:E49">CalcF!$E$22:$E$25</f>
        <v>0</v>
      </c>
      <c r="F46" s="352">
        <f>G46-I46</f>
        <v>0</v>
      </c>
      <c r="G46" s="737">
        <f t="array" ref="G46:G49">CalcF!$F$22:$F$25</f>
        <v>0</v>
      </c>
      <c r="H46" s="749" t="str">
        <f>Language!$E$197</f>
        <v xml:space="preserve"> : </v>
      </c>
      <c r="I46" s="746">
        <f t="array" ref="I46:I49">CalcF!$G$22:$G$25</f>
        <v>0</v>
      </c>
      <c r="J46" s="743" t="str">
        <f t="array" ref="J46:M49">CalcF!$H$22:$K$25</f>
        <v/>
      </c>
      <c r="K46" s="352" t="str">
        <v/>
      </c>
      <c r="L46" s="352" t="str">
        <v/>
      </c>
      <c r="M46" s="738" t="str">
        <v/>
      </c>
      <c r="O46" s="752" t="str">
        <f t="array" ref="O46:O49">CalcF!$AZ$14:$AZ$17</f>
        <v>Nederland</v>
      </c>
      <c r="P46" s="352">
        <f t="array" ref="P46:P49">CalcF!$BA$14:$BA$17</f>
        <v>0</v>
      </c>
      <c r="Q46" s="352">
        <f t="array" ref="Q46:Q49">CalcF!$BB$14:$BB$17</f>
        <v>0</v>
      </c>
      <c r="R46" s="737">
        <f t="array" ref="R46:R49">CalcF!$BC$14:$BC$17</f>
        <v>0</v>
      </c>
      <c r="S46" s="749" t="str">
        <f>Language!$E$197</f>
        <v xml:space="preserve"> : </v>
      </c>
      <c r="T46" s="746">
        <f t="shared" ref="T46:T49" si="20">IF(O46="","",R46-Q46)</f>
        <v>0</v>
      </c>
      <c r="U46" s="743" t="str">
        <f t="array" ref="U46:X49">CalcF!$BE$14:$BH$17</f>
        <v/>
      </c>
      <c r="V46" s="352" t="str">
        <v/>
      </c>
      <c r="W46" s="352" t="str">
        <v/>
      </c>
      <c r="X46" s="738" t="str">
        <v/>
      </c>
      <c r="Z46" s="752" t="str">
        <f t="array" ref="Z46:Z49">IF(COUNTBLANK(CalcF!$AZ$22:$AZ$25)&lt;4,CalcF!$AZ$22:$AZ$25,CalcF!$BN$14:$BN$17)</f>
        <v/>
      </c>
      <c r="AA46" s="352" t="str">
        <f t="array" ref="AA46:AA49">IF(COUNTBLANK(CalcF!$AZ$22:$AZ$25)&lt;4,CalcF!$BA$22:$BA$25,CalcF!$BO$14:$BO$17)</f>
        <v/>
      </c>
      <c r="AB46" s="352" t="str">
        <f t="array" ref="AB46:AB49">IF(COUNTBLANK(CalcF!$AZ$22:$AZ$25)&lt;4,CalcF!$BB$22:$BB$25,CalcF!$BP$14:$BP$17)</f>
        <v/>
      </c>
      <c r="AC46" s="737" t="str">
        <f t="array" ref="AC46:AC49">IF(COUNTBLANK(CalcF!$AZ$22:$AZ$25)&lt;4,CalcF!$BC$22:$BC$25,CalcF!$BQ$14:$BQ$17)</f>
        <v/>
      </c>
      <c r="AD46" s="749" t="str">
        <f>Language!$E$197</f>
        <v xml:space="preserve"> : </v>
      </c>
      <c r="AE46" s="746" t="str">
        <f t="shared" ref="AE46:AE49" si="21">IF(Z46="","",AC46-AB46)</f>
        <v/>
      </c>
      <c r="AF46" s="743" t="str">
        <f t="array" ref="AF46:AI49">IF(COUNTBLANK(CalcF!$AZ$22:$AZ$25)&lt;4,CalcF!$BE$22:$BH$25,CalcF!$BS$14:$BV$17)</f>
        <v/>
      </c>
      <c r="AG46" s="352" t="str">
        <v/>
      </c>
      <c r="AH46" s="352" t="str">
        <v/>
      </c>
      <c r="AI46" s="738" t="str">
        <v/>
      </c>
      <c r="AK46" s="752" t="str">
        <f t="array" ref="AK46:AK49">CalcF!$BZ$14:$BZ$17</f>
        <v/>
      </c>
      <c r="AL46" s="352" t="str">
        <f t="array" ref="AL46:AL49">CalcF!$CA$14:$CA$17</f>
        <v/>
      </c>
      <c r="AM46" s="352" t="str">
        <f t="array" ref="AM46:AM49">CalcF!$CB$14:$CB$17</f>
        <v/>
      </c>
      <c r="AN46" s="737" t="str">
        <f t="array" ref="AN46:AN49">CalcF!$CC$14:$CC$17</f>
        <v/>
      </c>
      <c r="AO46" s="749" t="str">
        <f>Language!$E$197</f>
        <v xml:space="preserve"> : </v>
      </c>
      <c r="AP46" s="746" t="str">
        <f t="shared" ref="AP46:AP49" si="22">IF(AK46="","",AN46-AM46)</f>
        <v/>
      </c>
      <c r="AQ46" s="743" t="str">
        <f t="array" ref="AQ46:AT49">CalcF!$CE$14:$CH$17</f>
        <v/>
      </c>
      <c r="AR46" s="352" t="str">
        <v/>
      </c>
      <c r="AS46" s="352" t="str">
        <v/>
      </c>
      <c r="AT46" s="738" t="str">
        <v/>
      </c>
      <c r="AV46" s="764">
        <f t="array" ref="AV46:AV49">VLOOKUP($D46:$D49,CalcF!$D$5:$P$8,13,0)</f>
        <v>0</v>
      </c>
      <c r="AW46" s="738">
        <f t="array" ref="AW46:AW49">VLOOKUP($D46:$D49,CalcF!$D$5:$Q$8,14,0)</f>
        <v>7</v>
      </c>
    </row>
    <row r="47" spans="2:49">
      <c r="B47" s="757" t="str">
        <v/>
      </c>
      <c r="D47" s="753" t="str">
        <v>Japan</v>
      </c>
      <c r="E47" s="198">
        <v>0</v>
      </c>
      <c r="F47" s="198">
        <f t="shared" ref="F47:F49" si="23">G47-I47</f>
        <v>0</v>
      </c>
      <c r="G47" s="733">
        <v>0</v>
      </c>
      <c r="H47" s="735" t="str">
        <f>Language!$E$197</f>
        <v xml:space="preserve"> : </v>
      </c>
      <c r="I47" s="747">
        <v>0</v>
      </c>
      <c r="J47" s="744" t="str">
        <v/>
      </c>
      <c r="K47" s="729" t="str">
        <v/>
      </c>
      <c r="L47" s="198" t="str">
        <v/>
      </c>
      <c r="M47" s="730" t="str">
        <v/>
      </c>
      <c r="O47" s="753" t="str">
        <v>Japan</v>
      </c>
      <c r="P47" s="198">
        <v>0</v>
      </c>
      <c r="Q47" s="198">
        <v>0</v>
      </c>
      <c r="R47" s="733">
        <v>0</v>
      </c>
      <c r="S47" s="735" t="str">
        <f>Language!$E$197</f>
        <v xml:space="preserve"> : </v>
      </c>
      <c r="T47" s="747">
        <f t="shared" si="20"/>
        <v>0</v>
      </c>
      <c r="U47" s="744" t="str">
        <v/>
      </c>
      <c r="V47" s="729" t="str">
        <v/>
      </c>
      <c r="W47" s="198" t="str">
        <v/>
      </c>
      <c r="X47" s="730" t="str">
        <v/>
      </c>
      <c r="Z47" s="753" t="str">
        <v/>
      </c>
      <c r="AA47" s="198" t="str">
        <v/>
      </c>
      <c r="AB47" s="198" t="str">
        <v/>
      </c>
      <c r="AC47" s="733" t="str">
        <v/>
      </c>
      <c r="AD47" s="735" t="str">
        <f>Language!$E$197</f>
        <v xml:space="preserve"> : </v>
      </c>
      <c r="AE47" s="747" t="str">
        <f t="shared" si="21"/>
        <v/>
      </c>
      <c r="AF47" s="744" t="str">
        <v/>
      </c>
      <c r="AG47" s="729" t="str">
        <v/>
      </c>
      <c r="AH47" s="198" t="str">
        <v/>
      </c>
      <c r="AI47" s="730" t="str">
        <v/>
      </c>
      <c r="AK47" s="753" t="str">
        <v/>
      </c>
      <c r="AL47" s="198" t="str">
        <v/>
      </c>
      <c r="AM47" s="198" t="str">
        <v/>
      </c>
      <c r="AN47" s="733" t="str">
        <v/>
      </c>
      <c r="AO47" s="735" t="str">
        <f>Language!$E$197</f>
        <v xml:space="preserve"> : </v>
      </c>
      <c r="AP47" s="747" t="str">
        <f t="shared" si="22"/>
        <v/>
      </c>
      <c r="AQ47" s="744" t="str">
        <v/>
      </c>
      <c r="AR47" s="729" t="str">
        <v/>
      </c>
      <c r="AS47" s="198" t="str">
        <v/>
      </c>
      <c r="AT47" s="730" t="str">
        <v/>
      </c>
      <c r="AV47" s="765">
        <v>0</v>
      </c>
      <c r="AW47" s="730">
        <v>18</v>
      </c>
    </row>
    <row r="48" spans="2:49">
      <c r="B48" s="757" t="str">
        <v/>
      </c>
      <c r="D48" s="753" t="str">
        <v>Zweden</v>
      </c>
      <c r="E48" s="198">
        <v>0</v>
      </c>
      <c r="F48" s="198">
        <f t="shared" si="23"/>
        <v>0</v>
      </c>
      <c r="G48" s="733">
        <v>0</v>
      </c>
      <c r="H48" s="735" t="str">
        <f>Language!$E$197</f>
        <v xml:space="preserve"> : </v>
      </c>
      <c r="I48" s="747">
        <v>0</v>
      </c>
      <c r="J48" s="744" t="str">
        <v/>
      </c>
      <c r="K48" s="198" t="str">
        <v/>
      </c>
      <c r="L48" s="729" t="str">
        <v/>
      </c>
      <c r="M48" s="730" t="str">
        <v/>
      </c>
      <c r="O48" s="753" t="str">
        <v>Zweden</v>
      </c>
      <c r="P48" s="198">
        <v>0</v>
      </c>
      <c r="Q48" s="198">
        <v>0</v>
      </c>
      <c r="R48" s="733">
        <v>0</v>
      </c>
      <c r="S48" s="735" t="str">
        <f>Language!$E$197</f>
        <v xml:space="preserve"> : </v>
      </c>
      <c r="T48" s="747">
        <f t="shared" si="20"/>
        <v>0</v>
      </c>
      <c r="U48" s="744" t="str">
        <v/>
      </c>
      <c r="V48" s="198" t="str">
        <v/>
      </c>
      <c r="W48" s="729" t="str">
        <v/>
      </c>
      <c r="X48" s="730" t="str">
        <v/>
      </c>
      <c r="Z48" s="753" t="str">
        <v/>
      </c>
      <c r="AA48" s="198" t="str">
        <v/>
      </c>
      <c r="AB48" s="198" t="str">
        <v/>
      </c>
      <c r="AC48" s="733" t="str">
        <v/>
      </c>
      <c r="AD48" s="735" t="str">
        <f>Language!$E$197</f>
        <v xml:space="preserve"> : </v>
      </c>
      <c r="AE48" s="747" t="str">
        <f t="shared" si="21"/>
        <v/>
      </c>
      <c r="AF48" s="744" t="str">
        <v/>
      </c>
      <c r="AG48" s="198" t="str">
        <v/>
      </c>
      <c r="AH48" s="729" t="str">
        <v/>
      </c>
      <c r="AI48" s="730" t="str">
        <v/>
      </c>
      <c r="AK48" s="753" t="str">
        <v/>
      </c>
      <c r="AL48" s="198" t="str">
        <v/>
      </c>
      <c r="AM48" s="198" t="str">
        <v/>
      </c>
      <c r="AN48" s="733" t="str">
        <v/>
      </c>
      <c r="AO48" s="735" t="str">
        <f>Language!$E$197</f>
        <v xml:space="preserve"> : </v>
      </c>
      <c r="AP48" s="747" t="str">
        <f t="shared" si="22"/>
        <v/>
      </c>
      <c r="AQ48" s="744" t="str">
        <v/>
      </c>
      <c r="AR48" s="198" t="str">
        <v/>
      </c>
      <c r="AS48" s="729" t="str">
        <v/>
      </c>
      <c r="AT48" s="730" t="str">
        <v/>
      </c>
      <c r="AV48" s="765">
        <v>0</v>
      </c>
      <c r="AW48" s="730">
        <v>38</v>
      </c>
    </row>
    <row r="49" spans="2:49" ht="15" thickBot="1">
      <c r="B49" s="757" t="str">
        <v/>
      </c>
      <c r="D49" s="754" t="str">
        <v>Tunesië</v>
      </c>
      <c r="E49" s="731">
        <v>0</v>
      </c>
      <c r="F49" s="731">
        <f t="shared" si="23"/>
        <v>0</v>
      </c>
      <c r="G49" s="734">
        <v>0</v>
      </c>
      <c r="H49" s="736" t="str">
        <f>Language!$E$197</f>
        <v xml:space="preserve"> : </v>
      </c>
      <c r="I49" s="748">
        <v>0</v>
      </c>
      <c r="J49" s="745" t="str">
        <v/>
      </c>
      <c r="K49" s="731" t="str">
        <v/>
      </c>
      <c r="L49" s="731" t="str">
        <v/>
      </c>
      <c r="M49" s="732" t="str">
        <v/>
      </c>
      <c r="O49" s="754" t="str">
        <v>Tunesië</v>
      </c>
      <c r="P49" s="731">
        <v>0</v>
      </c>
      <c r="Q49" s="731">
        <v>0</v>
      </c>
      <c r="R49" s="734">
        <v>0</v>
      </c>
      <c r="S49" s="736" t="str">
        <f>Language!$E$197</f>
        <v xml:space="preserve"> : </v>
      </c>
      <c r="T49" s="748">
        <f t="shared" si="20"/>
        <v>0</v>
      </c>
      <c r="U49" s="745" t="str">
        <v/>
      </c>
      <c r="V49" s="731" t="str">
        <v/>
      </c>
      <c r="W49" s="731" t="str">
        <v/>
      </c>
      <c r="X49" s="732" t="str">
        <v/>
      </c>
      <c r="Z49" s="754" t="str">
        <v/>
      </c>
      <c r="AA49" s="731" t="str">
        <v/>
      </c>
      <c r="AB49" s="731" t="str">
        <v/>
      </c>
      <c r="AC49" s="734" t="str">
        <v/>
      </c>
      <c r="AD49" s="736" t="str">
        <f>Language!$E$197</f>
        <v xml:space="preserve"> : </v>
      </c>
      <c r="AE49" s="748" t="str">
        <f t="shared" si="21"/>
        <v/>
      </c>
      <c r="AF49" s="745" t="str">
        <v/>
      </c>
      <c r="AG49" s="731" t="str">
        <v/>
      </c>
      <c r="AH49" s="731" t="str">
        <v/>
      </c>
      <c r="AI49" s="732" t="str">
        <v/>
      </c>
      <c r="AK49" s="754" t="str">
        <v/>
      </c>
      <c r="AL49" s="731" t="str">
        <v/>
      </c>
      <c r="AM49" s="731" t="str">
        <v/>
      </c>
      <c r="AN49" s="734" t="str">
        <v/>
      </c>
      <c r="AO49" s="736" t="str">
        <f>Language!$E$197</f>
        <v xml:space="preserve"> : </v>
      </c>
      <c r="AP49" s="748" t="str">
        <f t="shared" si="22"/>
        <v/>
      </c>
      <c r="AQ49" s="745" t="str">
        <v/>
      </c>
      <c r="AR49" s="731" t="str">
        <v/>
      </c>
      <c r="AS49" s="731" t="str">
        <v/>
      </c>
      <c r="AT49" s="732" t="str">
        <v/>
      </c>
      <c r="AV49" s="766">
        <v>0</v>
      </c>
      <c r="AW49" s="767">
        <v>44</v>
      </c>
    </row>
    <row r="50" spans="2:49" ht="15" thickTop="1"/>
    <row r="51" spans="2:49"/>
    <row r="52" spans="2:49" ht="15" thickBot="1">
      <c r="Z52" s="780" t="str">
        <f>IF(COUNTBLANK(CalcG!$BN$14:$BN$17)&lt;4,Language!$E$136,"")</f>
        <v/>
      </c>
      <c r="AK52" s="780" t="str">
        <f>IF(COUNTBLANK(CalcG!$BZ$14:$BZ$17)&lt;4,Language!$E$136,"")</f>
        <v/>
      </c>
    </row>
    <row r="53" spans="2:49" ht="24.5" thickTop="1">
      <c r="B53" s="755" t="s">
        <v>272</v>
      </c>
      <c r="C53" s="728"/>
      <c r="D53" s="739"/>
      <c r="E53" s="750" t="str">
        <f>Language!$E$131</f>
        <v>Ptn.</v>
      </c>
      <c r="F53" s="750" t="str">
        <f>Language!$E$132</f>
        <v>DS</v>
      </c>
      <c r="G53" s="843" t="str">
        <f>Language!$E$133</f>
        <v>Doelpunten</v>
      </c>
      <c r="H53" s="844"/>
      <c r="I53" s="844"/>
      <c r="J53" s="742" t="str">
        <f t="array" ref="J53:M53">LEFT(CalcG!$H$21:$K$21,$D$4)</f>
        <v>België</v>
      </c>
      <c r="K53" s="740" t="str">
        <v>Egypte</v>
      </c>
      <c r="L53" s="740" t="str">
        <v>IR Iran</v>
      </c>
      <c r="M53" s="741" t="str">
        <v>Nieuw-Z</v>
      </c>
      <c r="O53" s="739"/>
      <c r="P53" s="750" t="str">
        <f>Language!$E$131</f>
        <v>Ptn.</v>
      </c>
      <c r="Q53" s="750" t="str">
        <f>Language!$E$132</f>
        <v>DS</v>
      </c>
      <c r="R53" s="843" t="str">
        <f>Language!$E$133</f>
        <v>Doelpunten</v>
      </c>
      <c r="S53" s="844"/>
      <c r="T53" s="844"/>
      <c r="U53" s="742" t="str">
        <f t="array" ref="U53:X53">LEFT(CalcG!$BE$13:$BH$13,$D$4)</f>
        <v>België</v>
      </c>
      <c r="V53" s="740" t="str">
        <v>Egypte</v>
      </c>
      <c r="W53" s="740" t="str">
        <v>IR Iran</v>
      </c>
      <c r="X53" s="741" t="str">
        <v>Nieuw-Z</v>
      </c>
      <c r="Z53" s="739"/>
      <c r="AA53" s="750" t="str">
        <f>Language!$E$131</f>
        <v>Ptn.</v>
      </c>
      <c r="AB53" s="750" t="str">
        <f>Language!$E$132</f>
        <v>DS</v>
      </c>
      <c r="AC53" s="843" t="str">
        <f>Language!$E$133</f>
        <v>Doelpunten</v>
      </c>
      <c r="AD53" s="844"/>
      <c r="AE53" s="844"/>
      <c r="AF53" s="742" t="str">
        <f t="array" ref="AF53:AI53">IF(COUNTBLANK(CalcG!$AZ$22:$AZ$25)&lt;4,LEFT(CalcG!$BE$21:$BH$21,$D$4),LEFT(CalcG!$BS$13:$BV$13,$D$4))</f>
        <v/>
      </c>
      <c r="AG53" s="740" t="str">
        <v/>
      </c>
      <c r="AH53" s="740" t="str">
        <v/>
      </c>
      <c r="AI53" s="741" t="str">
        <v/>
      </c>
      <c r="AK53" s="739"/>
      <c r="AL53" s="750" t="str">
        <f>Language!$E$131</f>
        <v>Ptn.</v>
      </c>
      <c r="AM53" s="750" t="str">
        <f>Language!$E$132</f>
        <v>DS</v>
      </c>
      <c r="AN53" s="843" t="str">
        <f>Language!$E$133</f>
        <v>Doelpunten</v>
      </c>
      <c r="AO53" s="844"/>
      <c r="AP53" s="844"/>
      <c r="AQ53" s="742" t="str">
        <f t="array" ref="AQ53:AT53">LEFT(CalcG!$CE$13:$CH$13,$D$4)</f>
        <v/>
      </c>
      <c r="AR53" s="740" t="str">
        <v/>
      </c>
      <c r="AS53" s="740" t="str">
        <v/>
      </c>
      <c r="AT53" s="741" t="str">
        <v/>
      </c>
      <c r="AV53" s="762" t="str">
        <f>Language!$E$123</f>
        <v>Fair-Play</v>
      </c>
      <c r="AW53" s="763" t="str">
        <f>Language!$E$186</f>
        <v>FIFA-rank.</v>
      </c>
    </row>
    <row r="54" spans="2:49">
      <c r="B54" s="757" t="str">
        <f t="array" ref="B54:B57">IF(CalcG!$M$22:$M$25,"•","")</f>
        <v/>
      </c>
      <c r="D54" s="752" t="str">
        <f t="array" ref="D54:D57">CalcG!$D$22:$D$25</f>
        <v>België</v>
      </c>
      <c r="E54" s="352">
        <f t="array" ref="E54:E57">CalcG!$E$22:$E$25</f>
        <v>0</v>
      </c>
      <c r="F54" s="352">
        <f>G54-I54</f>
        <v>0</v>
      </c>
      <c r="G54" s="737">
        <f t="array" ref="G54:G57">CalcG!$F$22:$F$25</f>
        <v>0</v>
      </c>
      <c r="H54" s="749" t="str">
        <f>Language!$E$197</f>
        <v xml:space="preserve"> : </v>
      </c>
      <c r="I54" s="746">
        <f t="array" ref="I54:I57">CalcG!$G$22:$G$25</f>
        <v>0</v>
      </c>
      <c r="J54" s="743" t="str">
        <f t="array" ref="J54:M57">CalcG!$H$22:$K$25</f>
        <v/>
      </c>
      <c r="K54" s="352" t="str">
        <v/>
      </c>
      <c r="L54" s="352" t="str">
        <v/>
      </c>
      <c r="M54" s="738" t="str">
        <v/>
      </c>
      <c r="O54" s="752" t="str">
        <f t="array" ref="O54:O57">CalcG!$AZ$14:$AZ$17</f>
        <v>België</v>
      </c>
      <c r="P54" s="352">
        <f t="array" ref="P54:P57">CalcG!$BA$14:$BA$17</f>
        <v>0</v>
      </c>
      <c r="Q54" s="352">
        <f t="array" ref="Q54:Q57">CalcG!$BB$14:$BB$17</f>
        <v>0</v>
      </c>
      <c r="R54" s="737">
        <f t="array" ref="R54:R57">CalcG!$BC$14:$BC$17</f>
        <v>0</v>
      </c>
      <c r="S54" s="749" t="str">
        <f>Language!$E$197</f>
        <v xml:space="preserve"> : </v>
      </c>
      <c r="T54" s="746">
        <f t="shared" ref="T54:T57" si="24">IF(O54="","",R54-Q54)</f>
        <v>0</v>
      </c>
      <c r="U54" s="743" t="str">
        <f t="array" ref="U54:X57">CalcG!$BE$14:$BH$17</f>
        <v/>
      </c>
      <c r="V54" s="352" t="str">
        <v/>
      </c>
      <c r="W54" s="352" t="str">
        <v/>
      </c>
      <c r="X54" s="738" t="str">
        <v/>
      </c>
      <c r="Z54" s="752" t="str">
        <f t="array" ref="Z54:Z57">IF(COUNTBLANK(CalcG!$AZ$22:$AZ$25)&lt;4,CalcG!$AZ$22:$AZ$25,CalcG!$BN$14:$BN$17)</f>
        <v/>
      </c>
      <c r="AA54" s="352" t="str">
        <f t="array" ref="AA54:AA57">IF(COUNTBLANK(CalcG!$AZ$22:$AZ$25)&lt;4,CalcG!$BA$22:$BA$25,CalcG!$BO$14:$BO$17)</f>
        <v/>
      </c>
      <c r="AB54" s="352" t="str">
        <f t="array" ref="AB54:AB57">IF(COUNTBLANK(CalcG!$AZ$22:$AZ$25)&lt;4,CalcG!$BB$22:$BB$25,CalcG!$BP$14:$BP$17)</f>
        <v/>
      </c>
      <c r="AC54" s="737" t="str">
        <f t="array" ref="AC54:AC57">IF(COUNTBLANK(CalcG!$AZ$22:$AZ$25)&lt;4,CalcG!$BC$22:$BC$25,CalcG!$BQ$14:$BQ$17)</f>
        <v/>
      </c>
      <c r="AD54" s="749" t="str">
        <f>Language!$E$197</f>
        <v xml:space="preserve"> : </v>
      </c>
      <c r="AE54" s="746" t="str">
        <f t="shared" ref="AE54:AE57" si="25">IF(Z54="","",AC54-AB54)</f>
        <v/>
      </c>
      <c r="AF54" s="743" t="str">
        <f t="array" ref="AF54:AI57">IF(COUNTBLANK(CalcG!$AZ$22:$AZ$25)&lt;4,CalcG!$BE$22:$BH$25,CalcG!$BS$14:$BV$17)</f>
        <v/>
      </c>
      <c r="AG54" s="352" t="str">
        <v/>
      </c>
      <c r="AH54" s="352" t="str">
        <v/>
      </c>
      <c r="AI54" s="738" t="str">
        <v/>
      </c>
      <c r="AK54" s="752" t="str">
        <f t="array" ref="AK54:AK57">CalcG!$BZ$14:$BZ$17</f>
        <v/>
      </c>
      <c r="AL54" s="352" t="str">
        <f t="array" ref="AL54:AL57">CalcG!$CA$14:$CA$17</f>
        <v/>
      </c>
      <c r="AM54" s="352" t="str">
        <f t="array" ref="AM54:AM57">CalcG!$CB$14:$CB$17</f>
        <v/>
      </c>
      <c r="AN54" s="737" t="str">
        <f t="array" ref="AN54:AN57">CalcG!$CC$14:$CC$17</f>
        <v/>
      </c>
      <c r="AO54" s="749" t="str">
        <f>Language!$E$197</f>
        <v xml:space="preserve"> : </v>
      </c>
      <c r="AP54" s="746" t="str">
        <f t="shared" ref="AP54:AP57" si="26">IF(AK54="","",AN54-AM54)</f>
        <v/>
      </c>
      <c r="AQ54" s="743" t="str">
        <f t="array" ref="AQ54:AT57">CalcG!$CE$14:$CH$17</f>
        <v/>
      </c>
      <c r="AR54" s="352" t="str">
        <v/>
      </c>
      <c r="AS54" s="352" t="str">
        <v/>
      </c>
      <c r="AT54" s="738" t="str">
        <v/>
      </c>
      <c r="AV54" s="764">
        <f t="array" ref="AV54:AV57">VLOOKUP($D54:$D57,CalcG!$D$5:$P$8,13,0)</f>
        <v>0</v>
      </c>
      <c r="AW54" s="738">
        <f t="array" ref="AW54:AW57">VLOOKUP($D54:$D57,CalcG!$D$5:$Q$8,14,0)</f>
        <v>9</v>
      </c>
    </row>
    <row r="55" spans="2:49">
      <c r="B55" s="757" t="str">
        <v/>
      </c>
      <c r="D55" s="753" t="str">
        <v>Egypte</v>
      </c>
      <c r="E55" s="198">
        <v>0</v>
      </c>
      <c r="F55" s="198">
        <f t="shared" ref="F55:F57" si="27">G55-I55</f>
        <v>0</v>
      </c>
      <c r="G55" s="733">
        <v>0</v>
      </c>
      <c r="H55" s="735" t="str">
        <f>Language!$E$197</f>
        <v xml:space="preserve"> : </v>
      </c>
      <c r="I55" s="747">
        <v>0</v>
      </c>
      <c r="J55" s="744" t="str">
        <v/>
      </c>
      <c r="K55" s="729" t="str">
        <v/>
      </c>
      <c r="L55" s="198" t="str">
        <v/>
      </c>
      <c r="M55" s="730" t="str">
        <v/>
      </c>
      <c r="O55" s="753" t="str">
        <v>Egypte</v>
      </c>
      <c r="P55" s="198">
        <v>0</v>
      </c>
      <c r="Q55" s="198">
        <v>0</v>
      </c>
      <c r="R55" s="733">
        <v>0</v>
      </c>
      <c r="S55" s="735" t="str">
        <f>Language!$E$197</f>
        <v xml:space="preserve"> : </v>
      </c>
      <c r="T55" s="747">
        <f t="shared" si="24"/>
        <v>0</v>
      </c>
      <c r="U55" s="744" t="str">
        <v/>
      </c>
      <c r="V55" s="729" t="str">
        <v/>
      </c>
      <c r="W55" s="198" t="str">
        <v/>
      </c>
      <c r="X55" s="730" t="str">
        <v/>
      </c>
      <c r="Z55" s="753" t="str">
        <v/>
      </c>
      <c r="AA55" s="198" t="str">
        <v/>
      </c>
      <c r="AB55" s="198" t="str">
        <v/>
      </c>
      <c r="AC55" s="733" t="str">
        <v/>
      </c>
      <c r="AD55" s="735" t="str">
        <f>Language!$E$197</f>
        <v xml:space="preserve"> : </v>
      </c>
      <c r="AE55" s="747" t="str">
        <f t="shared" si="25"/>
        <v/>
      </c>
      <c r="AF55" s="744" t="str">
        <v/>
      </c>
      <c r="AG55" s="729" t="str">
        <v/>
      </c>
      <c r="AH55" s="198" t="str">
        <v/>
      </c>
      <c r="AI55" s="730" t="str">
        <v/>
      </c>
      <c r="AK55" s="753" t="str">
        <v/>
      </c>
      <c r="AL55" s="198" t="str">
        <v/>
      </c>
      <c r="AM55" s="198" t="str">
        <v/>
      </c>
      <c r="AN55" s="733" t="str">
        <v/>
      </c>
      <c r="AO55" s="735" t="str">
        <f>Language!$E$197</f>
        <v xml:space="preserve"> : </v>
      </c>
      <c r="AP55" s="747" t="str">
        <f t="shared" si="26"/>
        <v/>
      </c>
      <c r="AQ55" s="744" t="str">
        <v/>
      </c>
      <c r="AR55" s="729" t="str">
        <v/>
      </c>
      <c r="AS55" s="198" t="str">
        <v/>
      </c>
      <c r="AT55" s="730" t="str">
        <v/>
      </c>
      <c r="AV55" s="765">
        <v>0</v>
      </c>
      <c r="AW55" s="730">
        <v>29</v>
      </c>
    </row>
    <row r="56" spans="2:49">
      <c r="B56" s="757" t="str">
        <v/>
      </c>
      <c r="D56" s="753" t="str">
        <v>IR Iran</v>
      </c>
      <c r="E56" s="198">
        <v>0</v>
      </c>
      <c r="F56" s="198">
        <f t="shared" si="27"/>
        <v>0</v>
      </c>
      <c r="G56" s="733">
        <v>0</v>
      </c>
      <c r="H56" s="735" t="str">
        <f>Language!$E$197</f>
        <v xml:space="preserve"> : </v>
      </c>
      <c r="I56" s="747">
        <v>0</v>
      </c>
      <c r="J56" s="744" t="str">
        <v/>
      </c>
      <c r="K56" s="198" t="str">
        <v/>
      </c>
      <c r="L56" s="729" t="str">
        <v/>
      </c>
      <c r="M56" s="730" t="str">
        <v/>
      </c>
      <c r="O56" s="753" t="str">
        <v>IR Iran</v>
      </c>
      <c r="P56" s="198">
        <v>0</v>
      </c>
      <c r="Q56" s="198">
        <v>0</v>
      </c>
      <c r="R56" s="733">
        <v>0</v>
      </c>
      <c r="S56" s="735" t="str">
        <f>Language!$E$197</f>
        <v xml:space="preserve"> : </v>
      </c>
      <c r="T56" s="747">
        <f t="shared" si="24"/>
        <v>0</v>
      </c>
      <c r="U56" s="744" t="str">
        <v/>
      </c>
      <c r="V56" s="198" t="str">
        <v/>
      </c>
      <c r="W56" s="729" t="str">
        <v/>
      </c>
      <c r="X56" s="730" t="str">
        <v/>
      </c>
      <c r="Z56" s="753" t="str">
        <v/>
      </c>
      <c r="AA56" s="198" t="str">
        <v/>
      </c>
      <c r="AB56" s="198" t="str">
        <v/>
      </c>
      <c r="AC56" s="733" t="str">
        <v/>
      </c>
      <c r="AD56" s="735" t="str">
        <f>Language!$E$197</f>
        <v xml:space="preserve"> : </v>
      </c>
      <c r="AE56" s="747" t="str">
        <f t="shared" si="25"/>
        <v/>
      </c>
      <c r="AF56" s="744" t="str">
        <v/>
      </c>
      <c r="AG56" s="198" t="str">
        <v/>
      </c>
      <c r="AH56" s="729" t="str">
        <v/>
      </c>
      <c r="AI56" s="730" t="str">
        <v/>
      </c>
      <c r="AK56" s="753" t="str">
        <v/>
      </c>
      <c r="AL56" s="198" t="str">
        <v/>
      </c>
      <c r="AM56" s="198" t="str">
        <v/>
      </c>
      <c r="AN56" s="733" t="str">
        <v/>
      </c>
      <c r="AO56" s="735" t="str">
        <f>Language!$E$197</f>
        <v xml:space="preserve"> : </v>
      </c>
      <c r="AP56" s="747" t="str">
        <f t="shared" si="26"/>
        <v/>
      </c>
      <c r="AQ56" s="744" t="str">
        <v/>
      </c>
      <c r="AR56" s="198" t="str">
        <v/>
      </c>
      <c r="AS56" s="729" t="str">
        <v/>
      </c>
      <c r="AT56" s="730" t="str">
        <v/>
      </c>
      <c r="AV56" s="765">
        <v>0</v>
      </c>
      <c r="AW56" s="730">
        <v>21</v>
      </c>
    </row>
    <row r="57" spans="2:49" ht="15" thickBot="1">
      <c r="B57" s="757" t="str">
        <v/>
      </c>
      <c r="D57" s="754" t="str">
        <v>Nieuw-Zeeland</v>
      </c>
      <c r="E57" s="731">
        <v>0</v>
      </c>
      <c r="F57" s="731">
        <f t="shared" si="27"/>
        <v>0</v>
      </c>
      <c r="G57" s="734">
        <v>0</v>
      </c>
      <c r="H57" s="736" t="str">
        <f>Language!$E$197</f>
        <v xml:space="preserve"> : </v>
      </c>
      <c r="I57" s="748">
        <v>0</v>
      </c>
      <c r="J57" s="745" t="str">
        <v/>
      </c>
      <c r="K57" s="731" t="str">
        <v/>
      </c>
      <c r="L57" s="731" t="str">
        <v/>
      </c>
      <c r="M57" s="732" t="str">
        <v/>
      </c>
      <c r="O57" s="754" t="str">
        <v>Nieuw-Zeeland</v>
      </c>
      <c r="P57" s="731">
        <v>0</v>
      </c>
      <c r="Q57" s="731">
        <v>0</v>
      </c>
      <c r="R57" s="734">
        <v>0</v>
      </c>
      <c r="S57" s="736" t="str">
        <f>Language!$E$197</f>
        <v xml:space="preserve"> : </v>
      </c>
      <c r="T57" s="748">
        <f t="shared" si="24"/>
        <v>0</v>
      </c>
      <c r="U57" s="745" t="str">
        <v/>
      </c>
      <c r="V57" s="731" t="str">
        <v/>
      </c>
      <c r="W57" s="731" t="str">
        <v/>
      </c>
      <c r="X57" s="732" t="str">
        <v/>
      </c>
      <c r="Z57" s="754" t="str">
        <v/>
      </c>
      <c r="AA57" s="731" t="str">
        <v/>
      </c>
      <c r="AB57" s="731" t="str">
        <v/>
      </c>
      <c r="AC57" s="734" t="str">
        <v/>
      </c>
      <c r="AD57" s="736" t="str">
        <f>Language!$E$197</f>
        <v xml:space="preserve"> : </v>
      </c>
      <c r="AE57" s="748" t="str">
        <f t="shared" si="25"/>
        <v/>
      </c>
      <c r="AF57" s="745" t="str">
        <v/>
      </c>
      <c r="AG57" s="731" t="str">
        <v/>
      </c>
      <c r="AH57" s="731" t="str">
        <v/>
      </c>
      <c r="AI57" s="732" t="str">
        <v/>
      </c>
      <c r="AK57" s="754" t="str">
        <v/>
      </c>
      <c r="AL57" s="731" t="str">
        <v/>
      </c>
      <c r="AM57" s="731" t="str">
        <v/>
      </c>
      <c r="AN57" s="734" t="str">
        <v/>
      </c>
      <c r="AO57" s="736" t="str">
        <f>Language!$E$197</f>
        <v xml:space="preserve"> : </v>
      </c>
      <c r="AP57" s="748" t="str">
        <f t="shared" si="26"/>
        <v/>
      </c>
      <c r="AQ57" s="745" t="str">
        <v/>
      </c>
      <c r="AR57" s="731" t="str">
        <v/>
      </c>
      <c r="AS57" s="731" t="str">
        <v/>
      </c>
      <c r="AT57" s="732" t="str">
        <v/>
      </c>
      <c r="AV57" s="766">
        <v>0</v>
      </c>
      <c r="AW57" s="767">
        <v>85</v>
      </c>
    </row>
    <row r="58" spans="2:49" ht="15" thickTop="1"/>
    <row r="59" spans="2:49"/>
    <row r="60" spans="2:49" ht="15" thickBot="1">
      <c r="Z60" s="780" t="str">
        <f>IF(COUNTBLANK(CalcH!$BN$14:$BN$17)&lt;4,Language!$E$136,"")</f>
        <v/>
      </c>
      <c r="AK60" s="780" t="str">
        <f>IF(COUNTBLANK(CalcH!$BZ$14:$BZ$17)&lt;4,Language!$E$136,"")</f>
        <v/>
      </c>
    </row>
    <row r="61" spans="2:49" ht="24.5" thickTop="1">
      <c r="B61" s="755" t="s">
        <v>31</v>
      </c>
      <c r="C61" s="728"/>
      <c r="D61" s="739"/>
      <c r="E61" s="750" t="str">
        <f>Language!$E$131</f>
        <v>Ptn.</v>
      </c>
      <c r="F61" s="750" t="str">
        <f>Language!$E$132</f>
        <v>DS</v>
      </c>
      <c r="G61" s="843" t="str">
        <f>Language!$E$133</f>
        <v>Doelpunten</v>
      </c>
      <c r="H61" s="844"/>
      <c r="I61" s="844"/>
      <c r="J61" s="742" t="str">
        <f t="array" ref="J61:M61">LEFT(CalcH!$H$21:$K$21,$D$4)</f>
        <v>Spanje</v>
      </c>
      <c r="K61" s="740" t="str">
        <v>Kaapver</v>
      </c>
      <c r="L61" s="740" t="str">
        <v>Saoedi-</v>
      </c>
      <c r="M61" s="741" t="str">
        <v>Uruguay</v>
      </c>
      <c r="O61" s="739"/>
      <c r="P61" s="750" t="str">
        <f>Language!$E$131</f>
        <v>Ptn.</v>
      </c>
      <c r="Q61" s="750" t="str">
        <f>Language!$E$132</f>
        <v>DS</v>
      </c>
      <c r="R61" s="843" t="str">
        <f>Language!$E$133</f>
        <v>Doelpunten</v>
      </c>
      <c r="S61" s="844"/>
      <c r="T61" s="844"/>
      <c r="U61" s="742" t="str">
        <f t="array" ref="U61:X61">LEFT(CalcH!$BE$13:$BH$13,$D$4)</f>
        <v>Spanje</v>
      </c>
      <c r="V61" s="740" t="str">
        <v>Kaapver</v>
      </c>
      <c r="W61" s="740" t="str">
        <v>Saoedi-</v>
      </c>
      <c r="X61" s="741" t="str">
        <v>Uruguay</v>
      </c>
      <c r="Z61" s="739"/>
      <c r="AA61" s="750" t="str">
        <f>Language!$E$131</f>
        <v>Ptn.</v>
      </c>
      <c r="AB61" s="750" t="str">
        <f>Language!$E$132</f>
        <v>DS</v>
      </c>
      <c r="AC61" s="843" t="str">
        <f>Language!$E$133</f>
        <v>Doelpunten</v>
      </c>
      <c r="AD61" s="844"/>
      <c r="AE61" s="844"/>
      <c r="AF61" s="742" t="str">
        <f t="array" ref="AF61:AI61">IF(COUNTBLANK(CalcH!$AZ$22:$AZ$25)&lt;4,LEFT(CalcH!$BE$21:$BH$21,$D$4),LEFT(CalcH!$BS$13:$BV$13,$D$4))</f>
        <v/>
      </c>
      <c r="AG61" s="740" t="str">
        <v/>
      </c>
      <c r="AH61" s="740" t="str">
        <v/>
      </c>
      <c r="AI61" s="741" t="str">
        <v/>
      </c>
      <c r="AK61" s="739"/>
      <c r="AL61" s="750" t="str">
        <f>Language!$E$131</f>
        <v>Ptn.</v>
      </c>
      <c r="AM61" s="750" t="str">
        <f>Language!$E$132</f>
        <v>DS</v>
      </c>
      <c r="AN61" s="843" t="str">
        <f>Language!$E$133</f>
        <v>Doelpunten</v>
      </c>
      <c r="AO61" s="844"/>
      <c r="AP61" s="844"/>
      <c r="AQ61" s="742" t="str">
        <f t="array" ref="AQ61:AT61">LEFT(CalcH!$CE$13:$CH$13,$D$4)</f>
        <v/>
      </c>
      <c r="AR61" s="740" t="str">
        <v/>
      </c>
      <c r="AS61" s="740" t="str">
        <v/>
      </c>
      <c r="AT61" s="741" t="str">
        <v/>
      </c>
      <c r="AV61" s="762" t="str">
        <f>Language!$E$123</f>
        <v>Fair-Play</v>
      </c>
      <c r="AW61" s="763" t="str">
        <f>Language!$E$186</f>
        <v>FIFA-rank.</v>
      </c>
    </row>
    <row r="62" spans="2:49">
      <c r="B62" s="757" t="str">
        <f t="array" ref="B62:B65">IF(CalcH!$M$22:$M$25,"•","")</f>
        <v/>
      </c>
      <c r="D62" s="752" t="str">
        <f t="array" ref="D62:D65">CalcH!$D$22:$D$25</f>
        <v>Spanje</v>
      </c>
      <c r="E62" s="352">
        <f t="array" ref="E62:E65">CalcH!$E$22:$E$25</f>
        <v>0</v>
      </c>
      <c r="F62" s="352">
        <f>G62-I62</f>
        <v>0</v>
      </c>
      <c r="G62" s="737">
        <f t="array" ref="G62:G65">CalcH!$F$22:$F$25</f>
        <v>0</v>
      </c>
      <c r="H62" s="749" t="str">
        <f>Language!$E$197</f>
        <v xml:space="preserve"> : </v>
      </c>
      <c r="I62" s="746">
        <f t="array" ref="I62:I65">CalcH!$G$22:$G$25</f>
        <v>0</v>
      </c>
      <c r="J62" s="743" t="str">
        <f t="array" ref="J62:M65">CalcH!$H$22:$K$25</f>
        <v/>
      </c>
      <c r="K62" s="352" t="str">
        <v/>
      </c>
      <c r="L62" s="352" t="str">
        <v/>
      </c>
      <c r="M62" s="738" t="str">
        <v/>
      </c>
      <c r="O62" s="752" t="str">
        <f t="array" ref="O62:O65">CalcH!$AZ$14:$AZ$17</f>
        <v>Spanje</v>
      </c>
      <c r="P62" s="352">
        <f t="array" ref="P62:P65">CalcH!$BA$14:$BA$17</f>
        <v>0</v>
      </c>
      <c r="Q62" s="352">
        <f t="array" ref="Q62:Q65">CalcH!$BB$14:$BB$17</f>
        <v>0</v>
      </c>
      <c r="R62" s="737">
        <f t="array" ref="R62:R65">CalcH!$BC$14:$BC$17</f>
        <v>0</v>
      </c>
      <c r="S62" s="749" t="str">
        <f>Language!$E$197</f>
        <v xml:space="preserve"> : </v>
      </c>
      <c r="T62" s="746">
        <f t="shared" ref="T62:T65" si="28">IF(O62="","",R62-Q62)</f>
        <v>0</v>
      </c>
      <c r="U62" s="743" t="str">
        <f t="array" ref="U62:X65">CalcH!$BE$14:$BH$17</f>
        <v/>
      </c>
      <c r="V62" s="352" t="str">
        <v/>
      </c>
      <c r="W62" s="352" t="str">
        <v/>
      </c>
      <c r="X62" s="738" t="str">
        <v/>
      </c>
      <c r="Z62" s="752" t="str">
        <f t="array" ref="Z62:Z65">IF(COUNTBLANK(CalcH!$AZ$22:$AZ$25)&lt;4,CalcH!$AZ$22:$AZ$25,CalcH!$BN$14:$BN$17)</f>
        <v/>
      </c>
      <c r="AA62" s="352" t="str">
        <f t="array" ref="AA62:AA65">IF(COUNTBLANK(CalcH!$AZ$22:$AZ$25)&lt;4,CalcH!$BA$22:$BA$25,CalcH!$BO$14:$BO$17)</f>
        <v/>
      </c>
      <c r="AB62" s="352" t="str">
        <f t="array" ref="AB62:AB65">IF(COUNTBLANK(CalcH!$AZ$22:$AZ$25)&lt;4,CalcH!$BB$22:$BB$25,CalcH!$BP$14:$BP$17)</f>
        <v/>
      </c>
      <c r="AC62" s="737" t="str">
        <f t="array" ref="AC62:AC65">IF(COUNTBLANK(CalcH!$AZ$22:$AZ$25)&lt;4,CalcH!$BC$22:$BC$25,CalcH!$BQ$14:$BQ$17)</f>
        <v/>
      </c>
      <c r="AD62" s="749" t="str">
        <f>Language!$E$197</f>
        <v xml:space="preserve"> : </v>
      </c>
      <c r="AE62" s="746" t="str">
        <f t="shared" ref="AE62:AE65" si="29">IF(Z62="","",AC62-AB62)</f>
        <v/>
      </c>
      <c r="AF62" s="743" t="str">
        <f t="array" ref="AF62:AI65">IF(COUNTBLANK(CalcH!$AZ$22:$AZ$25)&lt;4,CalcH!$BE$22:$BH$25,CalcH!$BS$14:$BV$17)</f>
        <v/>
      </c>
      <c r="AG62" s="352" t="str">
        <v/>
      </c>
      <c r="AH62" s="352" t="str">
        <v/>
      </c>
      <c r="AI62" s="738" t="str">
        <v/>
      </c>
      <c r="AK62" s="752" t="str">
        <f t="array" ref="AK62:AK65">CalcH!$BZ$14:$BZ$17</f>
        <v/>
      </c>
      <c r="AL62" s="352" t="str">
        <f t="array" ref="AL62:AL65">CalcH!$CA$14:$CA$17</f>
        <v/>
      </c>
      <c r="AM62" s="352" t="str">
        <f t="array" ref="AM62:AM65">CalcH!$CB$14:$CB$17</f>
        <v/>
      </c>
      <c r="AN62" s="737" t="str">
        <f t="array" ref="AN62:AN65">CalcH!$CC$14:$CC$17</f>
        <v/>
      </c>
      <c r="AO62" s="749" t="str">
        <f>Language!$E$197</f>
        <v xml:space="preserve"> : </v>
      </c>
      <c r="AP62" s="746" t="str">
        <f t="shared" ref="AP62:AP65" si="30">IF(AK62="","",AN62-AM62)</f>
        <v/>
      </c>
      <c r="AQ62" s="743" t="str">
        <f t="array" ref="AQ62:AT65">CalcH!$CE$14:$CH$17</f>
        <v/>
      </c>
      <c r="AR62" s="352" t="str">
        <v/>
      </c>
      <c r="AS62" s="352" t="str">
        <v/>
      </c>
      <c r="AT62" s="738" t="str">
        <v/>
      </c>
      <c r="AV62" s="764">
        <f t="array" ref="AV62:AV65">VLOOKUP($D62:$D65,CalcH!$D$5:$P$8,13,0)</f>
        <v>0</v>
      </c>
      <c r="AW62" s="738">
        <f t="array" ref="AW62:AW65">VLOOKUP($D62:$D65,CalcH!$D$5:$Q$8,14,0)</f>
        <v>2</v>
      </c>
    </row>
    <row r="63" spans="2:49">
      <c r="B63" s="757" t="str">
        <v/>
      </c>
      <c r="D63" s="753" t="str">
        <v>Kaapverdië</v>
      </c>
      <c r="E63" s="198">
        <v>0</v>
      </c>
      <c r="F63" s="198">
        <f t="shared" ref="F63:F65" si="31">G63-I63</f>
        <v>0</v>
      </c>
      <c r="G63" s="733">
        <v>0</v>
      </c>
      <c r="H63" s="735" t="str">
        <f>Language!$E$197</f>
        <v xml:space="preserve"> : </v>
      </c>
      <c r="I63" s="747">
        <v>0</v>
      </c>
      <c r="J63" s="744" t="str">
        <v/>
      </c>
      <c r="K63" s="729" t="str">
        <v/>
      </c>
      <c r="L63" s="198" t="str">
        <v/>
      </c>
      <c r="M63" s="730" t="str">
        <v/>
      </c>
      <c r="O63" s="753" t="str">
        <v>Kaapverdië</v>
      </c>
      <c r="P63" s="198">
        <v>0</v>
      </c>
      <c r="Q63" s="198">
        <v>0</v>
      </c>
      <c r="R63" s="733">
        <v>0</v>
      </c>
      <c r="S63" s="735" t="str">
        <f>Language!$E$197</f>
        <v xml:space="preserve"> : </v>
      </c>
      <c r="T63" s="747">
        <f t="shared" si="28"/>
        <v>0</v>
      </c>
      <c r="U63" s="744" t="str">
        <v/>
      </c>
      <c r="V63" s="729" t="str">
        <v/>
      </c>
      <c r="W63" s="198" t="str">
        <v/>
      </c>
      <c r="X63" s="730" t="str">
        <v/>
      </c>
      <c r="Z63" s="753" t="str">
        <v/>
      </c>
      <c r="AA63" s="198" t="str">
        <v/>
      </c>
      <c r="AB63" s="198" t="str">
        <v/>
      </c>
      <c r="AC63" s="733" t="str">
        <v/>
      </c>
      <c r="AD63" s="735" t="str">
        <f>Language!$E$197</f>
        <v xml:space="preserve"> : </v>
      </c>
      <c r="AE63" s="747" t="str">
        <f t="shared" si="29"/>
        <v/>
      </c>
      <c r="AF63" s="744" t="str">
        <v/>
      </c>
      <c r="AG63" s="729" t="str">
        <v/>
      </c>
      <c r="AH63" s="198" t="str">
        <v/>
      </c>
      <c r="AI63" s="730" t="str">
        <v/>
      </c>
      <c r="AK63" s="753" t="str">
        <v/>
      </c>
      <c r="AL63" s="198" t="str">
        <v/>
      </c>
      <c r="AM63" s="198" t="str">
        <v/>
      </c>
      <c r="AN63" s="733" t="str">
        <v/>
      </c>
      <c r="AO63" s="735" t="str">
        <f>Language!$E$197</f>
        <v xml:space="preserve"> : </v>
      </c>
      <c r="AP63" s="747" t="str">
        <f t="shared" si="30"/>
        <v/>
      </c>
      <c r="AQ63" s="744" t="str">
        <v/>
      </c>
      <c r="AR63" s="729" t="str">
        <v/>
      </c>
      <c r="AS63" s="198" t="str">
        <v/>
      </c>
      <c r="AT63" s="730" t="str">
        <v/>
      </c>
      <c r="AV63" s="765">
        <v>0</v>
      </c>
      <c r="AW63" s="730">
        <v>69</v>
      </c>
    </row>
    <row r="64" spans="2:49">
      <c r="B64" s="757" t="str">
        <v/>
      </c>
      <c r="D64" s="753" t="str">
        <v>Saoedi-Arabië</v>
      </c>
      <c r="E64" s="198">
        <v>0</v>
      </c>
      <c r="F64" s="198">
        <f t="shared" si="31"/>
        <v>0</v>
      </c>
      <c r="G64" s="733">
        <v>0</v>
      </c>
      <c r="H64" s="735" t="str">
        <f>Language!$E$197</f>
        <v xml:space="preserve"> : </v>
      </c>
      <c r="I64" s="747">
        <v>0</v>
      </c>
      <c r="J64" s="744" t="str">
        <v/>
      </c>
      <c r="K64" s="198" t="str">
        <v/>
      </c>
      <c r="L64" s="729" t="str">
        <v/>
      </c>
      <c r="M64" s="730" t="str">
        <v/>
      </c>
      <c r="O64" s="753" t="str">
        <v>Saoedi-Arabië</v>
      </c>
      <c r="P64" s="198">
        <v>0</v>
      </c>
      <c r="Q64" s="198">
        <v>0</v>
      </c>
      <c r="R64" s="733">
        <v>0</v>
      </c>
      <c r="S64" s="735" t="str">
        <f>Language!$E$197</f>
        <v xml:space="preserve"> : </v>
      </c>
      <c r="T64" s="747">
        <f t="shared" si="28"/>
        <v>0</v>
      </c>
      <c r="U64" s="744" t="str">
        <v/>
      </c>
      <c r="V64" s="198" t="str">
        <v/>
      </c>
      <c r="W64" s="729" t="str">
        <v/>
      </c>
      <c r="X64" s="730" t="str">
        <v/>
      </c>
      <c r="Z64" s="753" t="str">
        <v/>
      </c>
      <c r="AA64" s="198" t="str">
        <v/>
      </c>
      <c r="AB64" s="198" t="str">
        <v/>
      </c>
      <c r="AC64" s="733" t="str">
        <v/>
      </c>
      <c r="AD64" s="735" t="str">
        <f>Language!$E$197</f>
        <v xml:space="preserve"> : </v>
      </c>
      <c r="AE64" s="747" t="str">
        <f t="shared" si="29"/>
        <v/>
      </c>
      <c r="AF64" s="744" t="str">
        <v/>
      </c>
      <c r="AG64" s="198" t="str">
        <v/>
      </c>
      <c r="AH64" s="729" t="str">
        <v/>
      </c>
      <c r="AI64" s="730" t="str">
        <v/>
      </c>
      <c r="AK64" s="753" t="str">
        <v/>
      </c>
      <c r="AL64" s="198" t="str">
        <v/>
      </c>
      <c r="AM64" s="198" t="str">
        <v/>
      </c>
      <c r="AN64" s="733" t="str">
        <v/>
      </c>
      <c r="AO64" s="735" t="str">
        <f>Language!$E$197</f>
        <v xml:space="preserve"> : </v>
      </c>
      <c r="AP64" s="747" t="str">
        <f t="shared" si="30"/>
        <v/>
      </c>
      <c r="AQ64" s="744" t="str">
        <v/>
      </c>
      <c r="AR64" s="198" t="str">
        <v/>
      </c>
      <c r="AS64" s="729" t="str">
        <v/>
      </c>
      <c r="AT64" s="730" t="str">
        <v/>
      </c>
      <c r="AV64" s="765">
        <v>0</v>
      </c>
      <c r="AW64" s="730">
        <v>61</v>
      </c>
    </row>
    <row r="65" spans="2:49" ht="15" thickBot="1">
      <c r="B65" s="757" t="str">
        <v/>
      </c>
      <c r="D65" s="754" t="str">
        <v>Uruguay</v>
      </c>
      <c r="E65" s="731">
        <v>0</v>
      </c>
      <c r="F65" s="731">
        <f t="shared" si="31"/>
        <v>0</v>
      </c>
      <c r="G65" s="734">
        <v>0</v>
      </c>
      <c r="H65" s="736" t="str">
        <f>Language!$E$197</f>
        <v xml:space="preserve"> : </v>
      </c>
      <c r="I65" s="748">
        <v>0</v>
      </c>
      <c r="J65" s="745" t="str">
        <v/>
      </c>
      <c r="K65" s="731" t="str">
        <v/>
      </c>
      <c r="L65" s="731" t="str">
        <v/>
      </c>
      <c r="M65" s="732" t="str">
        <v/>
      </c>
      <c r="O65" s="754" t="str">
        <v>Uruguay</v>
      </c>
      <c r="P65" s="731">
        <v>0</v>
      </c>
      <c r="Q65" s="731">
        <v>0</v>
      </c>
      <c r="R65" s="734">
        <v>0</v>
      </c>
      <c r="S65" s="736" t="str">
        <f>Language!$E$197</f>
        <v xml:space="preserve"> : </v>
      </c>
      <c r="T65" s="748">
        <f t="shared" si="28"/>
        <v>0</v>
      </c>
      <c r="U65" s="745" t="str">
        <v/>
      </c>
      <c r="V65" s="731" t="str">
        <v/>
      </c>
      <c r="W65" s="731" t="str">
        <v/>
      </c>
      <c r="X65" s="732" t="str">
        <v/>
      </c>
      <c r="Z65" s="754" t="str">
        <v/>
      </c>
      <c r="AA65" s="731" t="str">
        <v/>
      </c>
      <c r="AB65" s="731" t="str">
        <v/>
      </c>
      <c r="AC65" s="734" t="str">
        <v/>
      </c>
      <c r="AD65" s="736" t="str">
        <f>Language!$E$197</f>
        <v xml:space="preserve"> : </v>
      </c>
      <c r="AE65" s="748" t="str">
        <f t="shared" si="29"/>
        <v/>
      </c>
      <c r="AF65" s="745" t="str">
        <v/>
      </c>
      <c r="AG65" s="731" t="str">
        <v/>
      </c>
      <c r="AH65" s="731" t="str">
        <v/>
      </c>
      <c r="AI65" s="732" t="str">
        <v/>
      </c>
      <c r="AK65" s="754" t="str">
        <v/>
      </c>
      <c r="AL65" s="731" t="str">
        <v/>
      </c>
      <c r="AM65" s="731" t="str">
        <v/>
      </c>
      <c r="AN65" s="734" t="str">
        <v/>
      </c>
      <c r="AO65" s="736" t="str">
        <f>Language!$E$197</f>
        <v xml:space="preserve"> : </v>
      </c>
      <c r="AP65" s="748" t="str">
        <f t="shared" si="30"/>
        <v/>
      </c>
      <c r="AQ65" s="745" t="str">
        <v/>
      </c>
      <c r="AR65" s="731" t="str">
        <v/>
      </c>
      <c r="AS65" s="731" t="str">
        <v/>
      </c>
      <c r="AT65" s="732" t="str">
        <v/>
      </c>
      <c r="AV65" s="766">
        <v>0</v>
      </c>
      <c r="AW65" s="767">
        <v>17</v>
      </c>
    </row>
    <row r="66" spans="2:49" ht="15" thickTop="1"/>
    <row r="67" spans="2:49"/>
    <row r="68" spans="2:49" ht="15" thickBot="1">
      <c r="Z68" s="780" t="str">
        <f>IF(COUNTBLANK(CalcI!$BN$14:$BN$17)&lt;4,Language!$E$136,"")</f>
        <v/>
      </c>
      <c r="AK68" s="780" t="str">
        <f>IF(COUNTBLANK(CalcI!$BZ$14:$BZ$17)&lt;4,Language!$E$136,"")</f>
        <v/>
      </c>
    </row>
    <row r="69" spans="2:49" ht="24.5" thickTop="1">
      <c r="B69" s="755" t="s">
        <v>32</v>
      </c>
      <c r="C69" s="728"/>
      <c r="D69" s="739"/>
      <c r="E69" s="750" t="str">
        <f>Language!$E$131</f>
        <v>Ptn.</v>
      </c>
      <c r="F69" s="750" t="str">
        <f>Language!$E$132</f>
        <v>DS</v>
      </c>
      <c r="G69" s="843" t="str">
        <f>Language!$E$133</f>
        <v>Doelpunten</v>
      </c>
      <c r="H69" s="844"/>
      <c r="I69" s="844"/>
      <c r="J69" s="742" t="str">
        <f t="array" ref="J69:M69">LEFT(CalcI!$H$21:$K$21,$D$4)</f>
        <v>Frankri</v>
      </c>
      <c r="K69" s="740" t="str">
        <v>Senegal</v>
      </c>
      <c r="L69" s="740" t="str">
        <v>Irak</v>
      </c>
      <c r="M69" s="741" t="str">
        <v>Noorweg</v>
      </c>
      <c r="O69" s="739"/>
      <c r="P69" s="750" t="str">
        <f>Language!$E$131</f>
        <v>Ptn.</v>
      </c>
      <c r="Q69" s="750" t="str">
        <f>Language!$E$132</f>
        <v>DS</v>
      </c>
      <c r="R69" s="843" t="str">
        <f>Language!$E$133</f>
        <v>Doelpunten</v>
      </c>
      <c r="S69" s="844"/>
      <c r="T69" s="844"/>
      <c r="U69" s="742" t="str">
        <f t="array" ref="U69:X69">LEFT(CalcI!$BE$13:$BH$13,$D$4)</f>
        <v>Frankri</v>
      </c>
      <c r="V69" s="740" t="str">
        <v>Senegal</v>
      </c>
      <c r="W69" s="740" t="str">
        <v>Irak</v>
      </c>
      <c r="X69" s="741" t="str">
        <v>Noorweg</v>
      </c>
      <c r="Z69" s="739"/>
      <c r="AA69" s="750" t="str">
        <f>Language!$E$131</f>
        <v>Ptn.</v>
      </c>
      <c r="AB69" s="750" t="str">
        <f>Language!$E$132</f>
        <v>DS</v>
      </c>
      <c r="AC69" s="843" t="str">
        <f>Language!$E$133</f>
        <v>Doelpunten</v>
      </c>
      <c r="AD69" s="844"/>
      <c r="AE69" s="844"/>
      <c r="AF69" s="742" t="str">
        <f t="array" ref="AF69:AI69">IF(COUNTBLANK(CalcI!$AZ$22:$AZ$25)&lt;4,LEFT(CalcI!$BE$21:$BH$21,$D$4),LEFT(CalcI!$BS$13:$BV$13,$D$4))</f>
        <v/>
      </c>
      <c r="AG69" s="740" t="str">
        <v/>
      </c>
      <c r="AH69" s="740" t="str">
        <v/>
      </c>
      <c r="AI69" s="741" t="str">
        <v/>
      </c>
      <c r="AK69" s="739"/>
      <c r="AL69" s="750" t="str">
        <f>Language!$E$131</f>
        <v>Ptn.</v>
      </c>
      <c r="AM69" s="750" t="str">
        <f>Language!$E$132</f>
        <v>DS</v>
      </c>
      <c r="AN69" s="843" t="str">
        <f>Language!$E$133</f>
        <v>Doelpunten</v>
      </c>
      <c r="AO69" s="844"/>
      <c r="AP69" s="844"/>
      <c r="AQ69" s="742" t="str">
        <f t="array" ref="AQ69:AT69">LEFT(CalcI!$CE$13:$CH$13,$D$4)</f>
        <v/>
      </c>
      <c r="AR69" s="740" t="str">
        <v/>
      </c>
      <c r="AS69" s="740" t="str">
        <v/>
      </c>
      <c r="AT69" s="741" t="str">
        <v/>
      </c>
      <c r="AV69" s="762" t="str">
        <f>Language!$E$123</f>
        <v>Fair-Play</v>
      </c>
      <c r="AW69" s="763" t="str">
        <f>Language!$E$186</f>
        <v>FIFA-rank.</v>
      </c>
    </row>
    <row r="70" spans="2:49">
      <c r="B70" s="757" t="str">
        <f t="array" ref="B70:B73">IF(CalcI!$M$22:$M$25,"•","")</f>
        <v/>
      </c>
      <c r="D70" s="752" t="str">
        <f t="array" ref="D70:D73">CalcI!$D$22:$D$25</f>
        <v>Frankrijk</v>
      </c>
      <c r="E70" s="352">
        <f t="array" ref="E70:E73">CalcI!$E$22:$E$25</f>
        <v>0</v>
      </c>
      <c r="F70" s="352">
        <f>G70-I70</f>
        <v>0</v>
      </c>
      <c r="G70" s="737">
        <f t="array" ref="G70:G73">CalcI!$F$22:$F$25</f>
        <v>0</v>
      </c>
      <c r="H70" s="749" t="str">
        <f>Language!$E$197</f>
        <v xml:space="preserve"> : </v>
      </c>
      <c r="I70" s="746">
        <f t="array" ref="I70:I73">CalcI!$G$22:$G$25</f>
        <v>0</v>
      </c>
      <c r="J70" s="743" t="str">
        <f t="array" ref="J70:M73">CalcI!$H$22:$K$25</f>
        <v/>
      </c>
      <c r="K70" s="352" t="str">
        <v/>
      </c>
      <c r="L70" s="352" t="str">
        <v/>
      </c>
      <c r="M70" s="738" t="str">
        <v/>
      </c>
      <c r="O70" s="752" t="str">
        <f t="array" ref="O70:O73">CalcI!$AZ$14:$AZ$17</f>
        <v>Frankrijk</v>
      </c>
      <c r="P70" s="352">
        <f t="array" ref="P70:P73">CalcI!$BA$14:$BA$17</f>
        <v>0</v>
      </c>
      <c r="Q70" s="352">
        <f t="array" ref="Q70:Q73">CalcI!$BB$14:$BB$17</f>
        <v>0</v>
      </c>
      <c r="R70" s="737">
        <f t="array" ref="R70:R73">CalcI!$BC$14:$BC$17</f>
        <v>0</v>
      </c>
      <c r="S70" s="749" t="str">
        <f>Language!$E$197</f>
        <v xml:space="preserve"> : </v>
      </c>
      <c r="T70" s="746">
        <f t="shared" ref="T70:T73" si="32">IF(O70="","",R70-Q70)</f>
        <v>0</v>
      </c>
      <c r="U70" s="743" t="str">
        <f t="array" ref="U70:X73">CalcI!$BE$14:$BH$17</f>
        <v/>
      </c>
      <c r="V70" s="352" t="str">
        <v/>
      </c>
      <c r="W70" s="352" t="str">
        <v/>
      </c>
      <c r="X70" s="738" t="str">
        <v/>
      </c>
      <c r="Z70" s="752" t="str">
        <f t="array" ref="Z70:Z73">IF(COUNTBLANK(CalcI!$AZ$22:$AZ$25)&lt;4,CalcI!$AZ$22:$AZ$25,CalcI!$BN$14:$BN$17)</f>
        <v/>
      </c>
      <c r="AA70" s="352" t="str">
        <f t="array" ref="AA70:AA73">IF(COUNTBLANK(CalcI!$AZ$22:$AZ$25)&lt;4,CalcI!$BA$22:$BA$25,CalcI!$BO$14:$BO$17)</f>
        <v/>
      </c>
      <c r="AB70" s="352" t="str">
        <f t="array" ref="AB70:AB73">IF(COUNTBLANK(CalcI!$AZ$22:$AZ$25)&lt;4,CalcI!$BB$22:$BB$25,CalcI!$BP$14:$BP$17)</f>
        <v/>
      </c>
      <c r="AC70" s="737" t="str">
        <f t="array" ref="AC70:AC73">IF(COUNTBLANK(CalcI!$AZ$22:$AZ$25)&lt;4,CalcI!$BC$22:$BC$25,CalcI!$BQ$14:$BQ$17)</f>
        <v/>
      </c>
      <c r="AD70" s="749" t="str">
        <f>Language!$E$197</f>
        <v xml:space="preserve"> : </v>
      </c>
      <c r="AE70" s="746" t="str">
        <f t="shared" ref="AE70:AE73" si="33">IF(Z70="","",AC70-AB70)</f>
        <v/>
      </c>
      <c r="AF70" s="743" t="str">
        <f t="array" ref="AF70:AI73">IF(COUNTBLANK(CalcI!$AZ$22:$AZ$25)&lt;4,CalcI!$BE$22:$BH$25,CalcI!$BS$14:$BV$17)</f>
        <v/>
      </c>
      <c r="AG70" s="352" t="str">
        <v/>
      </c>
      <c r="AH70" s="352" t="str">
        <v/>
      </c>
      <c r="AI70" s="738" t="str">
        <v/>
      </c>
      <c r="AK70" s="752" t="str">
        <f t="array" ref="AK70:AK73">CalcI!$BZ$14:$BZ$17</f>
        <v/>
      </c>
      <c r="AL70" s="352" t="str">
        <f t="array" ref="AL70:AL73">CalcI!$CA$14:$CA$17</f>
        <v/>
      </c>
      <c r="AM70" s="352" t="str">
        <f t="array" ref="AM70:AM73">CalcI!$CB$14:$CB$17</f>
        <v/>
      </c>
      <c r="AN70" s="737" t="str">
        <f t="array" ref="AN70:AN73">CalcI!$CC$14:$CC$17</f>
        <v/>
      </c>
      <c r="AO70" s="749" t="str">
        <f>Language!$E$197</f>
        <v xml:space="preserve"> : </v>
      </c>
      <c r="AP70" s="746" t="str">
        <f t="shared" ref="AP70:AP73" si="34">IF(AK70="","",AN70-AM70)</f>
        <v/>
      </c>
      <c r="AQ70" s="743" t="str">
        <f t="array" ref="AQ70:AT73">CalcI!$CE$14:$CH$17</f>
        <v/>
      </c>
      <c r="AR70" s="352" t="str">
        <v/>
      </c>
      <c r="AS70" s="352" t="str">
        <v/>
      </c>
      <c r="AT70" s="738" t="str">
        <v/>
      </c>
      <c r="AV70" s="764">
        <f t="array" ref="AV70:AV73">VLOOKUP($D70:$D73,CalcI!$D$5:$P$8,13,0)</f>
        <v>0</v>
      </c>
      <c r="AW70" s="738">
        <f t="array" ref="AW70:AW73">VLOOKUP($D70:$D73,CalcI!$D$5:$Q$8,14,0)</f>
        <v>1</v>
      </c>
    </row>
    <row r="71" spans="2:49">
      <c r="B71" s="757" t="str">
        <v/>
      </c>
      <c r="D71" s="753" t="str">
        <v>Senegal</v>
      </c>
      <c r="E71" s="198">
        <v>0</v>
      </c>
      <c r="F71" s="198">
        <f t="shared" ref="F71:F73" si="35">G71-I71</f>
        <v>0</v>
      </c>
      <c r="G71" s="733">
        <v>0</v>
      </c>
      <c r="H71" s="735" t="str">
        <f>Language!$E$197</f>
        <v xml:space="preserve"> : </v>
      </c>
      <c r="I71" s="747">
        <v>0</v>
      </c>
      <c r="J71" s="744" t="str">
        <v/>
      </c>
      <c r="K71" s="729" t="str">
        <v/>
      </c>
      <c r="L71" s="198" t="str">
        <v/>
      </c>
      <c r="M71" s="730" t="str">
        <v/>
      </c>
      <c r="O71" s="753" t="str">
        <v>Senegal</v>
      </c>
      <c r="P71" s="198">
        <v>0</v>
      </c>
      <c r="Q71" s="198">
        <v>0</v>
      </c>
      <c r="R71" s="733">
        <v>0</v>
      </c>
      <c r="S71" s="735" t="str">
        <f>Language!$E$197</f>
        <v xml:space="preserve"> : </v>
      </c>
      <c r="T71" s="747">
        <f t="shared" si="32"/>
        <v>0</v>
      </c>
      <c r="U71" s="744" t="str">
        <v/>
      </c>
      <c r="V71" s="729" t="str">
        <v/>
      </c>
      <c r="W71" s="198" t="str">
        <v/>
      </c>
      <c r="X71" s="730" t="str">
        <v/>
      </c>
      <c r="Z71" s="753" t="str">
        <v/>
      </c>
      <c r="AA71" s="198" t="str">
        <v/>
      </c>
      <c r="AB71" s="198" t="str">
        <v/>
      </c>
      <c r="AC71" s="733" t="str">
        <v/>
      </c>
      <c r="AD71" s="735" t="str">
        <f>Language!$E$197</f>
        <v xml:space="preserve"> : </v>
      </c>
      <c r="AE71" s="747" t="str">
        <f t="shared" si="33"/>
        <v/>
      </c>
      <c r="AF71" s="744" t="str">
        <v/>
      </c>
      <c r="AG71" s="729" t="str">
        <v/>
      </c>
      <c r="AH71" s="198" t="str">
        <v/>
      </c>
      <c r="AI71" s="730" t="str">
        <v/>
      </c>
      <c r="AK71" s="753" t="str">
        <v/>
      </c>
      <c r="AL71" s="198" t="str">
        <v/>
      </c>
      <c r="AM71" s="198" t="str">
        <v/>
      </c>
      <c r="AN71" s="733" t="str">
        <v/>
      </c>
      <c r="AO71" s="735" t="str">
        <f>Language!$E$197</f>
        <v xml:space="preserve"> : </v>
      </c>
      <c r="AP71" s="747" t="str">
        <f t="shared" si="34"/>
        <v/>
      </c>
      <c r="AQ71" s="744" t="str">
        <v/>
      </c>
      <c r="AR71" s="729" t="str">
        <v/>
      </c>
      <c r="AS71" s="198" t="str">
        <v/>
      </c>
      <c r="AT71" s="730" t="str">
        <v/>
      </c>
      <c r="AV71" s="765">
        <v>0</v>
      </c>
      <c r="AW71" s="730">
        <v>14</v>
      </c>
    </row>
    <row r="72" spans="2:49">
      <c r="B72" s="757" t="str">
        <v/>
      </c>
      <c r="D72" s="753" t="str">
        <v>Irak</v>
      </c>
      <c r="E72" s="198">
        <v>0</v>
      </c>
      <c r="F72" s="198">
        <f t="shared" si="35"/>
        <v>0</v>
      </c>
      <c r="G72" s="733">
        <v>0</v>
      </c>
      <c r="H72" s="735" t="str">
        <f>Language!$E$197</f>
        <v xml:space="preserve"> : </v>
      </c>
      <c r="I72" s="747">
        <v>0</v>
      </c>
      <c r="J72" s="744" t="str">
        <v/>
      </c>
      <c r="K72" s="198" t="str">
        <v/>
      </c>
      <c r="L72" s="729" t="str">
        <v/>
      </c>
      <c r="M72" s="730" t="str">
        <v/>
      </c>
      <c r="O72" s="753" t="str">
        <v>Irak</v>
      </c>
      <c r="P72" s="198">
        <v>0</v>
      </c>
      <c r="Q72" s="198">
        <v>0</v>
      </c>
      <c r="R72" s="733">
        <v>0</v>
      </c>
      <c r="S72" s="735" t="str">
        <f>Language!$E$197</f>
        <v xml:space="preserve"> : </v>
      </c>
      <c r="T72" s="747">
        <f t="shared" si="32"/>
        <v>0</v>
      </c>
      <c r="U72" s="744" t="str">
        <v/>
      </c>
      <c r="V72" s="198" t="str">
        <v/>
      </c>
      <c r="W72" s="729" t="str">
        <v/>
      </c>
      <c r="X72" s="730" t="str">
        <v/>
      </c>
      <c r="Z72" s="753" t="str">
        <v/>
      </c>
      <c r="AA72" s="198" t="str">
        <v/>
      </c>
      <c r="AB72" s="198" t="str">
        <v/>
      </c>
      <c r="AC72" s="733" t="str">
        <v/>
      </c>
      <c r="AD72" s="735" t="str">
        <f>Language!$E$197</f>
        <v xml:space="preserve"> : </v>
      </c>
      <c r="AE72" s="747" t="str">
        <f t="shared" si="33"/>
        <v/>
      </c>
      <c r="AF72" s="744" t="str">
        <v/>
      </c>
      <c r="AG72" s="198" t="str">
        <v/>
      </c>
      <c r="AH72" s="729" t="str">
        <v/>
      </c>
      <c r="AI72" s="730" t="str">
        <v/>
      </c>
      <c r="AK72" s="753" t="str">
        <v/>
      </c>
      <c r="AL72" s="198" t="str">
        <v/>
      </c>
      <c r="AM72" s="198" t="str">
        <v/>
      </c>
      <c r="AN72" s="733" t="str">
        <v/>
      </c>
      <c r="AO72" s="735" t="str">
        <f>Language!$E$197</f>
        <v xml:space="preserve"> : </v>
      </c>
      <c r="AP72" s="747" t="str">
        <f t="shared" si="34"/>
        <v/>
      </c>
      <c r="AQ72" s="744" t="str">
        <v/>
      </c>
      <c r="AR72" s="198" t="str">
        <v/>
      </c>
      <c r="AS72" s="729" t="str">
        <v/>
      </c>
      <c r="AT72" s="730" t="str">
        <v/>
      </c>
      <c r="AV72" s="765">
        <v>0</v>
      </c>
      <c r="AW72" s="730">
        <v>57</v>
      </c>
    </row>
    <row r="73" spans="2:49" ht="15" thickBot="1">
      <c r="B73" s="757" t="str">
        <v/>
      </c>
      <c r="D73" s="754" t="str">
        <v>Noorwegen</v>
      </c>
      <c r="E73" s="731">
        <v>0</v>
      </c>
      <c r="F73" s="731">
        <f t="shared" si="35"/>
        <v>0</v>
      </c>
      <c r="G73" s="734">
        <v>0</v>
      </c>
      <c r="H73" s="736" t="str">
        <f>Language!$E$197</f>
        <v xml:space="preserve"> : </v>
      </c>
      <c r="I73" s="748">
        <v>0</v>
      </c>
      <c r="J73" s="745" t="str">
        <v/>
      </c>
      <c r="K73" s="731" t="str">
        <v/>
      </c>
      <c r="L73" s="731" t="str">
        <v/>
      </c>
      <c r="M73" s="732" t="str">
        <v/>
      </c>
      <c r="O73" s="754" t="str">
        <v>Noorwegen</v>
      </c>
      <c r="P73" s="731">
        <v>0</v>
      </c>
      <c r="Q73" s="731">
        <v>0</v>
      </c>
      <c r="R73" s="734">
        <v>0</v>
      </c>
      <c r="S73" s="736" t="str">
        <f>Language!$E$197</f>
        <v xml:space="preserve"> : </v>
      </c>
      <c r="T73" s="748">
        <f t="shared" si="32"/>
        <v>0</v>
      </c>
      <c r="U73" s="745" t="str">
        <v/>
      </c>
      <c r="V73" s="731" t="str">
        <v/>
      </c>
      <c r="W73" s="731" t="str">
        <v/>
      </c>
      <c r="X73" s="732" t="str">
        <v/>
      </c>
      <c r="Z73" s="754" t="str">
        <v/>
      </c>
      <c r="AA73" s="731" t="str">
        <v/>
      </c>
      <c r="AB73" s="731" t="str">
        <v/>
      </c>
      <c r="AC73" s="734" t="str">
        <v/>
      </c>
      <c r="AD73" s="736" t="str">
        <f>Language!$E$197</f>
        <v xml:space="preserve"> : </v>
      </c>
      <c r="AE73" s="748" t="str">
        <f t="shared" si="33"/>
        <v/>
      </c>
      <c r="AF73" s="745" t="str">
        <v/>
      </c>
      <c r="AG73" s="731" t="str">
        <v/>
      </c>
      <c r="AH73" s="731" t="str">
        <v/>
      </c>
      <c r="AI73" s="732" t="str">
        <v/>
      </c>
      <c r="AK73" s="754" t="str">
        <v/>
      </c>
      <c r="AL73" s="731" t="str">
        <v/>
      </c>
      <c r="AM73" s="731" t="str">
        <v/>
      </c>
      <c r="AN73" s="734" t="str">
        <v/>
      </c>
      <c r="AO73" s="736" t="str">
        <f>Language!$E$197</f>
        <v xml:space="preserve"> : </v>
      </c>
      <c r="AP73" s="748" t="str">
        <f t="shared" si="34"/>
        <v/>
      </c>
      <c r="AQ73" s="745" t="str">
        <v/>
      </c>
      <c r="AR73" s="731" t="str">
        <v/>
      </c>
      <c r="AS73" s="731" t="str">
        <v/>
      </c>
      <c r="AT73" s="732" t="str">
        <v/>
      </c>
      <c r="AV73" s="766">
        <v>0</v>
      </c>
      <c r="AW73" s="767">
        <v>31</v>
      </c>
    </row>
    <row r="74" spans="2:49" ht="15" thickTop="1"/>
    <row r="75" spans="2:49"/>
    <row r="76" spans="2:49" ht="15" thickBot="1">
      <c r="Z76" s="780" t="str">
        <f>IF(COUNTBLANK(CalcJ!$BN$14:$BN$17)&lt;4,Language!$E$136,"")</f>
        <v/>
      </c>
      <c r="AK76" s="780" t="str">
        <f>IF(COUNTBLANK(CalcJ!$BZ$14:$BZ$17)&lt;4,Language!$E$136,"")</f>
        <v/>
      </c>
    </row>
    <row r="77" spans="2:49" ht="24.5" thickTop="1">
      <c r="B77" s="755" t="s">
        <v>841</v>
      </c>
      <c r="C77" s="728"/>
      <c r="D77" s="739"/>
      <c r="E77" s="750" t="str">
        <f>Language!$E$131</f>
        <v>Ptn.</v>
      </c>
      <c r="F77" s="750" t="str">
        <f>Language!$E$132</f>
        <v>DS</v>
      </c>
      <c r="G77" s="843" t="str">
        <f>Language!$E$133</f>
        <v>Doelpunten</v>
      </c>
      <c r="H77" s="844"/>
      <c r="I77" s="844"/>
      <c r="J77" s="742" t="str">
        <f t="array" ref="J77:M77">LEFT(CalcJ!$H$21:$K$21,$D$4)</f>
        <v>Argenti</v>
      </c>
      <c r="K77" s="740" t="str">
        <v>Algerij</v>
      </c>
      <c r="L77" s="740" t="str">
        <v>Oostenr</v>
      </c>
      <c r="M77" s="741" t="str">
        <v>Jordani</v>
      </c>
      <c r="O77" s="739"/>
      <c r="P77" s="750" t="str">
        <f>Language!$E$131</f>
        <v>Ptn.</v>
      </c>
      <c r="Q77" s="750" t="str">
        <f>Language!$E$132</f>
        <v>DS</v>
      </c>
      <c r="R77" s="843" t="str">
        <f>Language!$E$133</f>
        <v>Doelpunten</v>
      </c>
      <c r="S77" s="844"/>
      <c r="T77" s="844"/>
      <c r="U77" s="742" t="str">
        <f t="array" ref="U77:X77">LEFT(CalcJ!$BE$13:$BH$13,$D$4)</f>
        <v>Argenti</v>
      </c>
      <c r="V77" s="740" t="str">
        <v>Algerij</v>
      </c>
      <c r="W77" s="740" t="str">
        <v>Oostenr</v>
      </c>
      <c r="X77" s="741" t="str">
        <v>Jordani</v>
      </c>
      <c r="Z77" s="739"/>
      <c r="AA77" s="750" t="str">
        <f>Language!$E$131</f>
        <v>Ptn.</v>
      </c>
      <c r="AB77" s="750" t="str">
        <f>Language!$E$132</f>
        <v>DS</v>
      </c>
      <c r="AC77" s="843" t="str">
        <f>Language!$E$133</f>
        <v>Doelpunten</v>
      </c>
      <c r="AD77" s="844"/>
      <c r="AE77" s="844"/>
      <c r="AF77" s="742" t="str">
        <f t="array" ref="AF77:AI77">IF(COUNTBLANK(CalcJ!$AZ$22:$AZ$25)&lt;4,LEFT(CalcJ!$BE$21:$BH$21,$D$4),LEFT(CalcJ!$BS$13:$BV$13,$D$4))</f>
        <v/>
      </c>
      <c r="AG77" s="740" t="str">
        <v/>
      </c>
      <c r="AH77" s="740" t="str">
        <v/>
      </c>
      <c r="AI77" s="741" t="str">
        <v/>
      </c>
      <c r="AK77" s="739"/>
      <c r="AL77" s="750" t="str">
        <f>Language!$E$131</f>
        <v>Ptn.</v>
      </c>
      <c r="AM77" s="750" t="str">
        <f>Language!$E$132</f>
        <v>DS</v>
      </c>
      <c r="AN77" s="843" t="str">
        <f>Language!$E$133</f>
        <v>Doelpunten</v>
      </c>
      <c r="AO77" s="844"/>
      <c r="AP77" s="844"/>
      <c r="AQ77" s="742" t="str">
        <f t="array" ref="AQ77:AT77">LEFT(CalcJ!$CE$13:$CH$13,$D$4)</f>
        <v/>
      </c>
      <c r="AR77" s="740" t="str">
        <v/>
      </c>
      <c r="AS77" s="740" t="str">
        <v/>
      </c>
      <c r="AT77" s="741" t="str">
        <v/>
      </c>
      <c r="AV77" s="762" t="str">
        <f>Language!$E$123</f>
        <v>Fair-Play</v>
      </c>
      <c r="AW77" s="763" t="str">
        <f>Language!$E$186</f>
        <v>FIFA-rank.</v>
      </c>
    </row>
    <row r="78" spans="2:49">
      <c r="B78" s="757" t="str">
        <f t="array" ref="B78:B81">IF(CalcJ!$M$22:$M$25,"•","")</f>
        <v/>
      </c>
      <c r="D78" s="752" t="str">
        <f t="array" ref="D78:D81">CalcJ!$D$22:$D$25</f>
        <v>Argentinië</v>
      </c>
      <c r="E78" s="352">
        <f t="array" ref="E78:E81">CalcJ!$E$22:$E$25</f>
        <v>0</v>
      </c>
      <c r="F78" s="352">
        <f>G78-I78</f>
        <v>0</v>
      </c>
      <c r="G78" s="737">
        <f t="array" ref="G78:G81">CalcJ!$F$22:$F$25</f>
        <v>0</v>
      </c>
      <c r="H78" s="749" t="str">
        <f>Language!$E$197</f>
        <v xml:space="preserve"> : </v>
      </c>
      <c r="I78" s="746">
        <f t="array" ref="I78:I81">CalcJ!$G$22:$G$25</f>
        <v>0</v>
      </c>
      <c r="J78" s="743" t="str">
        <f t="array" ref="J78:M81">CalcJ!$H$22:$K$25</f>
        <v/>
      </c>
      <c r="K78" s="352" t="str">
        <v/>
      </c>
      <c r="L78" s="352" t="str">
        <v/>
      </c>
      <c r="M78" s="738" t="str">
        <v/>
      </c>
      <c r="O78" s="752" t="str">
        <f t="array" ref="O78:O81">CalcJ!$AZ$14:$AZ$17</f>
        <v>Argentinië</v>
      </c>
      <c r="P78" s="352">
        <f t="array" ref="P78:P81">CalcJ!$BA$14:$BA$17</f>
        <v>0</v>
      </c>
      <c r="Q78" s="352">
        <f t="array" ref="Q78:Q81">CalcJ!$BB$14:$BB$17</f>
        <v>0</v>
      </c>
      <c r="R78" s="737">
        <f t="array" ref="R78:R81">CalcJ!$BC$14:$BC$17</f>
        <v>0</v>
      </c>
      <c r="S78" s="749" t="str">
        <f>Language!$E$197</f>
        <v xml:space="preserve"> : </v>
      </c>
      <c r="T78" s="746">
        <f t="shared" ref="T78:T81" si="36">IF(O78="","",R78-Q78)</f>
        <v>0</v>
      </c>
      <c r="U78" s="743" t="str">
        <f t="array" ref="U78:X81">CalcJ!$BE$14:$BH$17</f>
        <v/>
      </c>
      <c r="V78" s="352" t="str">
        <v/>
      </c>
      <c r="W78" s="352" t="str">
        <v/>
      </c>
      <c r="X78" s="738" t="str">
        <v/>
      </c>
      <c r="Z78" s="752" t="str">
        <f t="array" ref="Z78:Z81">IF(COUNTBLANK(CalcJ!$AZ$22:$AZ$25)&lt;4,CalcJ!$AZ$22:$AZ$25,CalcJ!$BN$14:$BN$17)</f>
        <v/>
      </c>
      <c r="AA78" s="352" t="str">
        <f t="array" ref="AA78:AA81">IF(COUNTBLANK(CalcJ!$AZ$22:$AZ$25)&lt;4,CalcJ!$BA$22:$BA$25,CalcJ!$BO$14:$BO$17)</f>
        <v/>
      </c>
      <c r="AB78" s="352" t="str">
        <f t="array" ref="AB78:AB81">IF(COUNTBLANK(CalcJ!$AZ$22:$AZ$25)&lt;4,CalcJ!$BB$22:$BB$25,CalcJ!$BP$14:$BP$17)</f>
        <v/>
      </c>
      <c r="AC78" s="737" t="str">
        <f t="array" ref="AC78:AC81">IF(COUNTBLANK(CalcJ!$AZ$22:$AZ$25)&lt;4,CalcJ!$BC$22:$BC$25,CalcJ!$BQ$14:$BQ$17)</f>
        <v/>
      </c>
      <c r="AD78" s="749" t="str">
        <f>Language!$E$197</f>
        <v xml:space="preserve"> : </v>
      </c>
      <c r="AE78" s="746" t="str">
        <f t="shared" ref="AE78:AE81" si="37">IF(Z78="","",AC78-AB78)</f>
        <v/>
      </c>
      <c r="AF78" s="743" t="str">
        <f t="array" ref="AF78:AI81">IF(COUNTBLANK(CalcJ!$AZ$22:$AZ$25)&lt;4,CalcJ!$BE$22:$BH$25,CalcJ!$BS$14:$BV$17)</f>
        <v/>
      </c>
      <c r="AG78" s="352" t="str">
        <v/>
      </c>
      <c r="AH78" s="352" t="str">
        <v/>
      </c>
      <c r="AI78" s="738" t="str">
        <v/>
      </c>
      <c r="AK78" s="752" t="str">
        <f t="array" ref="AK78:AK81">CalcJ!$BZ$14:$BZ$17</f>
        <v/>
      </c>
      <c r="AL78" s="352" t="str">
        <f t="array" ref="AL78:AL81">CalcJ!$CA$14:$CA$17</f>
        <v/>
      </c>
      <c r="AM78" s="352" t="str">
        <f t="array" ref="AM78:AM81">CalcJ!$CB$14:$CB$17</f>
        <v/>
      </c>
      <c r="AN78" s="737" t="str">
        <f t="array" ref="AN78:AN81">CalcJ!$CC$14:$CC$17</f>
        <v/>
      </c>
      <c r="AO78" s="749" t="str">
        <f>Language!$E$197</f>
        <v xml:space="preserve"> : </v>
      </c>
      <c r="AP78" s="746" t="str">
        <f t="shared" ref="AP78:AP81" si="38">IF(AK78="","",AN78-AM78)</f>
        <v/>
      </c>
      <c r="AQ78" s="743" t="str">
        <f t="array" ref="AQ78:AT81">CalcJ!$CE$14:$CH$17</f>
        <v/>
      </c>
      <c r="AR78" s="352" t="str">
        <v/>
      </c>
      <c r="AS78" s="352" t="str">
        <v/>
      </c>
      <c r="AT78" s="738" t="str">
        <v/>
      </c>
      <c r="AV78" s="764">
        <f t="array" ref="AV78:AV81">VLOOKUP($D78:$D81,CalcJ!$D$5:$P$8,13,0)</f>
        <v>0</v>
      </c>
      <c r="AW78" s="738">
        <f t="array" ref="AW78:AW81">VLOOKUP($D78:$D81,CalcJ!$D$5:$Q$8,14,0)</f>
        <v>3</v>
      </c>
    </row>
    <row r="79" spans="2:49">
      <c r="B79" s="757" t="str">
        <v/>
      </c>
      <c r="D79" s="753" t="str">
        <v>Algerije</v>
      </c>
      <c r="E79" s="198">
        <v>0</v>
      </c>
      <c r="F79" s="198">
        <f t="shared" ref="F79:F81" si="39">G79-I79</f>
        <v>0</v>
      </c>
      <c r="G79" s="733">
        <v>0</v>
      </c>
      <c r="H79" s="735" t="str">
        <f>Language!$E$197</f>
        <v xml:space="preserve"> : </v>
      </c>
      <c r="I79" s="747">
        <v>0</v>
      </c>
      <c r="J79" s="744" t="str">
        <v/>
      </c>
      <c r="K79" s="729" t="str">
        <v/>
      </c>
      <c r="L79" s="198" t="str">
        <v/>
      </c>
      <c r="M79" s="730" t="str">
        <v/>
      </c>
      <c r="O79" s="753" t="str">
        <v>Algerije</v>
      </c>
      <c r="P79" s="198">
        <v>0</v>
      </c>
      <c r="Q79" s="198">
        <v>0</v>
      </c>
      <c r="R79" s="733">
        <v>0</v>
      </c>
      <c r="S79" s="735" t="str">
        <f>Language!$E$197</f>
        <v xml:space="preserve"> : </v>
      </c>
      <c r="T79" s="747">
        <f t="shared" si="36"/>
        <v>0</v>
      </c>
      <c r="U79" s="744" t="str">
        <v/>
      </c>
      <c r="V79" s="729" t="str">
        <v/>
      </c>
      <c r="W79" s="198" t="str">
        <v/>
      </c>
      <c r="X79" s="730" t="str">
        <v/>
      </c>
      <c r="Z79" s="753" t="str">
        <v/>
      </c>
      <c r="AA79" s="198" t="str">
        <v/>
      </c>
      <c r="AB79" s="198" t="str">
        <v/>
      </c>
      <c r="AC79" s="733" t="str">
        <v/>
      </c>
      <c r="AD79" s="735" t="str">
        <f>Language!$E$197</f>
        <v xml:space="preserve"> : </v>
      </c>
      <c r="AE79" s="747" t="str">
        <f t="shared" si="37"/>
        <v/>
      </c>
      <c r="AF79" s="744" t="str">
        <v/>
      </c>
      <c r="AG79" s="729" t="str">
        <v/>
      </c>
      <c r="AH79" s="198" t="str">
        <v/>
      </c>
      <c r="AI79" s="730" t="str">
        <v/>
      </c>
      <c r="AK79" s="753" t="str">
        <v/>
      </c>
      <c r="AL79" s="198" t="str">
        <v/>
      </c>
      <c r="AM79" s="198" t="str">
        <v/>
      </c>
      <c r="AN79" s="733" t="str">
        <v/>
      </c>
      <c r="AO79" s="735" t="str">
        <f>Language!$E$197</f>
        <v xml:space="preserve"> : </v>
      </c>
      <c r="AP79" s="747" t="str">
        <f t="shared" si="38"/>
        <v/>
      </c>
      <c r="AQ79" s="744" t="str">
        <v/>
      </c>
      <c r="AR79" s="729" t="str">
        <v/>
      </c>
      <c r="AS79" s="198" t="str">
        <v/>
      </c>
      <c r="AT79" s="730" t="str">
        <v/>
      </c>
      <c r="AV79" s="765">
        <v>0</v>
      </c>
      <c r="AW79" s="730">
        <v>28</v>
      </c>
    </row>
    <row r="80" spans="2:49">
      <c r="B80" s="757" t="str">
        <v/>
      </c>
      <c r="D80" s="753" t="str">
        <v>Oostenrijk</v>
      </c>
      <c r="E80" s="198">
        <v>0</v>
      </c>
      <c r="F80" s="198">
        <f t="shared" si="39"/>
        <v>0</v>
      </c>
      <c r="G80" s="733">
        <v>0</v>
      </c>
      <c r="H80" s="735" t="str">
        <f>Language!$E$197</f>
        <v xml:space="preserve"> : </v>
      </c>
      <c r="I80" s="747">
        <v>0</v>
      </c>
      <c r="J80" s="744" t="str">
        <v/>
      </c>
      <c r="K80" s="198" t="str">
        <v/>
      </c>
      <c r="L80" s="729" t="str">
        <v/>
      </c>
      <c r="M80" s="730" t="str">
        <v/>
      </c>
      <c r="O80" s="753" t="str">
        <v>Oostenrijk</v>
      </c>
      <c r="P80" s="198">
        <v>0</v>
      </c>
      <c r="Q80" s="198">
        <v>0</v>
      </c>
      <c r="R80" s="733">
        <v>0</v>
      </c>
      <c r="S80" s="735" t="str">
        <f>Language!$E$197</f>
        <v xml:space="preserve"> : </v>
      </c>
      <c r="T80" s="747">
        <f t="shared" si="36"/>
        <v>0</v>
      </c>
      <c r="U80" s="744" t="str">
        <v/>
      </c>
      <c r="V80" s="198" t="str">
        <v/>
      </c>
      <c r="W80" s="729" t="str">
        <v/>
      </c>
      <c r="X80" s="730" t="str">
        <v/>
      </c>
      <c r="Z80" s="753" t="str">
        <v/>
      </c>
      <c r="AA80" s="198" t="str">
        <v/>
      </c>
      <c r="AB80" s="198" t="str">
        <v/>
      </c>
      <c r="AC80" s="733" t="str">
        <v/>
      </c>
      <c r="AD80" s="735" t="str">
        <f>Language!$E$197</f>
        <v xml:space="preserve"> : </v>
      </c>
      <c r="AE80" s="747" t="str">
        <f t="shared" si="37"/>
        <v/>
      </c>
      <c r="AF80" s="744" t="str">
        <v/>
      </c>
      <c r="AG80" s="198" t="str">
        <v/>
      </c>
      <c r="AH80" s="729" t="str">
        <v/>
      </c>
      <c r="AI80" s="730" t="str">
        <v/>
      </c>
      <c r="AK80" s="753" t="str">
        <v/>
      </c>
      <c r="AL80" s="198" t="str">
        <v/>
      </c>
      <c r="AM80" s="198" t="str">
        <v/>
      </c>
      <c r="AN80" s="733" t="str">
        <v/>
      </c>
      <c r="AO80" s="735" t="str">
        <f>Language!$E$197</f>
        <v xml:space="preserve"> : </v>
      </c>
      <c r="AP80" s="747" t="str">
        <f t="shared" si="38"/>
        <v/>
      </c>
      <c r="AQ80" s="744" t="str">
        <v/>
      </c>
      <c r="AR80" s="198" t="str">
        <v/>
      </c>
      <c r="AS80" s="729" t="str">
        <v/>
      </c>
      <c r="AT80" s="730" t="str">
        <v/>
      </c>
      <c r="AV80" s="765">
        <v>0</v>
      </c>
      <c r="AW80" s="730">
        <v>24</v>
      </c>
    </row>
    <row r="81" spans="2:49" ht="15" thickBot="1">
      <c r="B81" s="757" t="str">
        <v/>
      </c>
      <c r="D81" s="754" t="str">
        <v>Jordanië</v>
      </c>
      <c r="E81" s="731">
        <v>0</v>
      </c>
      <c r="F81" s="731">
        <f t="shared" si="39"/>
        <v>0</v>
      </c>
      <c r="G81" s="734">
        <v>0</v>
      </c>
      <c r="H81" s="736" t="str">
        <f>Language!$E$197</f>
        <v xml:space="preserve"> : </v>
      </c>
      <c r="I81" s="748">
        <v>0</v>
      </c>
      <c r="J81" s="745" t="str">
        <v/>
      </c>
      <c r="K81" s="731" t="str">
        <v/>
      </c>
      <c r="L81" s="731" t="str">
        <v/>
      </c>
      <c r="M81" s="732" t="str">
        <v/>
      </c>
      <c r="O81" s="754" t="str">
        <v>Jordanië</v>
      </c>
      <c r="P81" s="731">
        <v>0</v>
      </c>
      <c r="Q81" s="731">
        <v>0</v>
      </c>
      <c r="R81" s="734">
        <v>0</v>
      </c>
      <c r="S81" s="736" t="str">
        <f>Language!$E$197</f>
        <v xml:space="preserve"> : </v>
      </c>
      <c r="T81" s="748">
        <f t="shared" si="36"/>
        <v>0</v>
      </c>
      <c r="U81" s="745" t="str">
        <v/>
      </c>
      <c r="V81" s="731" t="str">
        <v/>
      </c>
      <c r="W81" s="731" t="str">
        <v/>
      </c>
      <c r="X81" s="732" t="str">
        <v/>
      </c>
      <c r="Z81" s="754" t="str">
        <v/>
      </c>
      <c r="AA81" s="731" t="str">
        <v/>
      </c>
      <c r="AB81" s="731" t="str">
        <v/>
      </c>
      <c r="AC81" s="734" t="str">
        <v/>
      </c>
      <c r="AD81" s="736" t="str">
        <f>Language!$E$197</f>
        <v xml:space="preserve"> : </v>
      </c>
      <c r="AE81" s="748" t="str">
        <f t="shared" si="37"/>
        <v/>
      </c>
      <c r="AF81" s="745" t="str">
        <v/>
      </c>
      <c r="AG81" s="731" t="str">
        <v/>
      </c>
      <c r="AH81" s="731" t="str">
        <v/>
      </c>
      <c r="AI81" s="732" t="str">
        <v/>
      </c>
      <c r="AK81" s="754" t="str">
        <v/>
      </c>
      <c r="AL81" s="731" t="str">
        <v/>
      </c>
      <c r="AM81" s="731" t="str">
        <v/>
      </c>
      <c r="AN81" s="734" t="str">
        <v/>
      </c>
      <c r="AO81" s="736" t="str">
        <f>Language!$E$197</f>
        <v xml:space="preserve"> : </v>
      </c>
      <c r="AP81" s="748" t="str">
        <f t="shared" si="38"/>
        <v/>
      </c>
      <c r="AQ81" s="745" t="str">
        <v/>
      </c>
      <c r="AR81" s="731" t="str">
        <v/>
      </c>
      <c r="AS81" s="731" t="str">
        <v/>
      </c>
      <c r="AT81" s="732" t="str">
        <v/>
      </c>
      <c r="AV81" s="766">
        <v>0</v>
      </c>
      <c r="AW81" s="767">
        <v>63</v>
      </c>
    </row>
    <row r="82" spans="2:49" ht="15" thickTop="1"/>
    <row r="83" spans="2:49"/>
    <row r="84" spans="2:49" ht="15" thickBot="1">
      <c r="Z84" s="780" t="str">
        <f>IF(COUNTBLANK(CalcK!$BN$14:$BN$17)&lt;4,Language!$E$136,"")</f>
        <v/>
      </c>
      <c r="AK84" s="780" t="str">
        <f>IF(COUNTBLANK(CalcK!$BZ$14:$BZ$17)&lt;4,Language!$E$136,"")</f>
        <v/>
      </c>
    </row>
    <row r="85" spans="2:49" ht="24.5" thickTop="1">
      <c r="B85" s="755" t="s">
        <v>33</v>
      </c>
      <c r="C85" s="728"/>
      <c r="D85" s="739"/>
      <c r="E85" s="750" t="str">
        <f>Language!$E$131</f>
        <v>Ptn.</v>
      </c>
      <c r="F85" s="750" t="str">
        <f>Language!$E$132</f>
        <v>DS</v>
      </c>
      <c r="G85" s="843" t="str">
        <f>Language!$E$133</f>
        <v>Doelpunten</v>
      </c>
      <c r="H85" s="844"/>
      <c r="I85" s="844"/>
      <c r="J85" s="742" t="str">
        <f t="array" ref="J85:M85">LEFT(CalcK!$H$21:$K$21,$D$4)</f>
        <v>Portuga</v>
      </c>
      <c r="K85" s="740" t="str">
        <v>DR Cong</v>
      </c>
      <c r="L85" s="740" t="str">
        <v>Oezbeki</v>
      </c>
      <c r="M85" s="741" t="str">
        <v>Colombi</v>
      </c>
      <c r="O85" s="739"/>
      <c r="P85" s="750" t="str">
        <f>Language!$E$131</f>
        <v>Ptn.</v>
      </c>
      <c r="Q85" s="750" t="str">
        <f>Language!$E$132</f>
        <v>DS</v>
      </c>
      <c r="R85" s="843" t="str">
        <f>Language!$E$133</f>
        <v>Doelpunten</v>
      </c>
      <c r="S85" s="844"/>
      <c r="T85" s="844"/>
      <c r="U85" s="742" t="str">
        <f t="array" ref="U85:X85">LEFT(CalcK!$BE$13:$BH$13,$D$4)</f>
        <v>Portuga</v>
      </c>
      <c r="V85" s="740" t="str">
        <v>DR Cong</v>
      </c>
      <c r="W85" s="740" t="str">
        <v>Oezbeki</v>
      </c>
      <c r="X85" s="741" t="str">
        <v>Colombi</v>
      </c>
      <c r="Z85" s="739"/>
      <c r="AA85" s="750" t="str">
        <f>Language!$E$131</f>
        <v>Ptn.</v>
      </c>
      <c r="AB85" s="750" t="str">
        <f>Language!$E$132</f>
        <v>DS</v>
      </c>
      <c r="AC85" s="843" t="str">
        <f>Language!$E$133</f>
        <v>Doelpunten</v>
      </c>
      <c r="AD85" s="844"/>
      <c r="AE85" s="844"/>
      <c r="AF85" s="742" t="str">
        <f t="array" ref="AF85:AI85">IF(COUNTBLANK(CalcK!$AZ$22:$AZ$25)&lt;4,LEFT(CalcK!$BE$21:$BH$21,$D$4),LEFT(CalcK!$BS$13:$BV$13,$D$4))</f>
        <v/>
      </c>
      <c r="AG85" s="740" t="str">
        <v/>
      </c>
      <c r="AH85" s="740" t="str">
        <v/>
      </c>
      <c r="AI85" s="741" t="str">
        <v/>
      </c>
      <c r="AK85" s="739"/>
      <c r="AL85" s="750" t="str">
        <f>Language!$E$131</f>
        <v>Ptn.</v>
      </c>
      <c r="AM85" s="750" t="str">
        <f>Language!$E$132</f>
        <v>DS</v>
      </c>
      <c r="AN85" s="843" t="str">
        <f>Language!$E$133</f>
        <v>Doelpunten</v>
      </c>
      <c r="AO85" s="844"/>
      <c r="AP85" s="844"/>
      <c r="AQ85" s="742" t="str">
        <f t="array" ref="AQ85:AT85">LEFT(CalcK!$CE$13:$CH$13,$D$4)</f>
        <v/>
      </c>
      <c r="AR85" s="740" t="str">
        <v/>
      </c>
      <c r="AS85" s="740" t="str">
        <v/>
      </c>
      <c r="AT85" s="741" t="str">
        <v/>
      </c>
      <c r="AV85" s="762" t="str">
        <f>Language!$E$123</f>
        <v>Fair-Play</v>
      </c>
      <c r="AW85" s="763" t="str">
        <f>Language!$E$186</f>
        <v>FIFA-rank.</v>
      </c>
    </row>
    <row r="86" spans="2:49">
      <c r="B86" s="757" t="str">
        <f t="array" ref="B86:B89">IF(CalcK!$M$22:$M$25,"•","")</f>
        <v/>
      </c>
      <c r="D86" s="752" t="str">
        <f t="array" ref="D86:D89">CalcK!$D$22:$D$25</f>
        <v>Portugal</v>
      </c>
      <c r="E86" s="352">
        <f t="array" ref="E86:E89">CalcK!$E$22:$E$25</f>
        <v>0</v>
      </c>
      <c r="F86" s="352">
        <f>G86-I86</f>
        <v>0</v>
      </c>
      <c r="G86" s="737">
        <f t="array" ref="G86:G89">CalcK!$F$22:$F$25</f>
        <v>0</v>
      </c>
      <c r="H86" s="749" t="str">
        <f>Language!$E$197</f>
        <v xml:space="preserve"> : </v>
      </c>
      <c r="I86" s="746">
        <f t="array" ref="I86:I89">CalcK!$G$22:$G$25</f>
        <v>0</v>
      </c>
      <c r="J86" s="743" t="str">
        <f t="array" ref="J86:M89">CalcK!$H$22:$K$25</f>
        <v/>
      </c>
      <c r="K86" s="352" t="str">
        <v/>
      </c>
      <c r="L86" s="352" t="str">
        <v/>
      </c>
      <c r="M86" s="738" t="str">
        <v/>
      </c>
      <c r="O86" s="752" t="str">
        <f t="array" ref="O86:O89">CalcK!$AZ$14:$AZ$17</f>
        <v>Portugal</v>
      </c>
      <c r="P86" s="352">
        <f t="array" ref="P86:P89">CalcK!$BA$14:$BA$17</f>
        <v>0</v>
      </c>
      <c r="Q86" s="352">
        <f t="array" ref="Q86:Q89">CalcK!$BB$14:$BB$17</f>
        <v>0</v>
      </c>
      <c r="R86" s="737">
        <f t="array" ref="R86:R89">CalcK!$BC$14:$BC$17</f>
        <v>0</v>
      </c>
      <c r="S86" s="749" t="str">
        <f>Language!$E$197</f>
        <v xml:space="preserve"> : </v>
      </c>
      <c r="T86" s="746">
        <f t="shared" ref="T86:T89" si="40">IF(O86="","",R86-Q86)</f>
        <v>0</v>
      </c>
      <c r="U86" s="743" t="str">
        <f t="array" ref="U86:X89">CalcK!$BE$14:$BH$17</f>
        <v/>
      </c>
      <c r="V86" s="352" t="str">
        <v/>
      </c>
      <c r="W86" s="352" t="str">
        <v/>
      </c>
      <c r="X86" s="738" t="str">
        <v/>
      </c>
      <c r="Z86" s="752" t="str">
        <f t="array" ref="Z86:Z89">IF(COUNTBLANK(CalcK!$AZ$22:$AZ$25)&lt;4,CalcK!$AZ$22:$AZ$25,CalcK!$BN$14:$BN$17)</f>
        <v/>
      </c>
      <c r="AA86" s="352" t="str">
        <f t="array" ref="AA86:AA89">IF(COUNTBLANK(CalcK!$AZ$22:$AZ$25)&lt;4,CalcK!$BA$22:$BA$25,CalcK!$BO$14:$BO$17)</f>
        <v/>
      </c>
      <c r="AB86" s="352" t="str">
        <f t="array" ref="AB86:AB89">IF(COUNTBLANK(CalcK!$AZ$22:$AZ$25)&lt;4,CalcK!$BB$22:$BB$25,CalcK!$BP$14:$BP$17)</f>
        <v/>
      </c>
      <c r="AC86" s="737" t="str">
        <f t="array" ref="AC86:AC89">IF(COUNTBLANK(CalcK!$AZ$22:$AZ$25)&lt;4,CalcK!$BC$22:$BC$25,CalcK!$BQ$14:$BQ$17)</f>
        <v/>
      </c>
      <c r="AD86" s="749" t="str">
        <f>Language!$E$197</f>
        <v xml:space="preserve"> : </v>
      </c>
      <c r="AE86" s="746" t="str">
        <f t="shared" ref="AE86:AE89" si="41">IF(Z86="","",AC86-AB86)</f>
        <v/>
      </c>
      <c r="AF86" s="743" t="str">
        <f t="array" ref="AF86:AI89">IF(COUNTBLANK(CalcK!$AZ$22:$AZ$25)&lt;4,CalcK!$BE$22:$BH$25,CalcK!$BS$14:$BV$17)</f>
        <v/>
      </c>
      <c r="AG86" s="352" t="str">
        <v/>
      </c>
      <c r="AH86" s="352" t="str">
        <v/>
      </c>
      <c r="AI86" s="738" t="str">
        <v/>
      </c>
      <c r="AK86" s="752" t="str">
        <f t="array" ref="AK86:AK89">CalcK!$BZ$14:$BZ$17</f>
        <v/>
      </c>
      <c r="AL86" s="352" t="str">
        <f t="array" ref="AL86:AL89">CalcK!$CA$14:$CA$17</f>
        <v/>
      </c>
      <c r="AM86" s="352" t="str">
        <f t="array" ref="AM86:AM89">CalcK!$CB$14:$CB$17</f>
        <v/>
      </c>
      <c r="AN86" s="737" t="str">
        <f t="array" ref="AN86:AN89">CalcK!$CC$14:$CC$17</f>
        <v/>
      </c>
      <c r="AO86" s="749" t="str">
        <f>Language!$E$197</f>
        <v xml:space="preserve"> : </v>
      </c>
      <c r="AP86" s="746" t="str">
        <f t="shared" ref="AP86:AP89" si="42">IF(AK86="","",AN86-AM86)</f>
        <v/>
      </c>
      <c r="AQ86" s="743" t="str">
        <f t="array" ref="AQ86:AT89">CalcK!$CE$14:$CH$17</f>
        <v/>
      </c>
      <c r="AR86" s="352" t="str">
        <v/>
      </c>
      <c r="AS86" s="352" t="str">
        <v/>
      </c>
      <c r="AT86" s="738" t="str">
        <v/>
      </c>
      <c r="AV86" s="764">
        <f t="array" ref="AV86:AV89">VLOOKUP($D86:$D89,CalcK!$D$5:$P$8,13,0)</f>
        <v>0</v>
      </c>
      <c r="AW86" s="738">
        <f t="array" ref="AW86:AW89">VLOOKUP($D86:$D89,CalcK!$D$5:$Q$8,14,0)</f>
        <v>5</v>
      </c>
    </row>
    <row r="87" spans="2:49">
      <c r="B87" s="757" t="str">
        <v/>
      </c>
      <c r="D87" s="753" t="str">
        <v>DR Congo</v>
      </c>
      <c r="E87" s="198">
        <v>0</v>
      </c>
      <c r="F87" s="198">
        <f t="shared" ref="F87:F89" si="43">G87-I87</f>
        <v>0</v>
      </c>
      <c r="G87" s="733">
        <v>0</v>
      </c>
      <c r="H87" s="735" t="str">
        <f>Language!$E$197</f>
        <v xml:space="preserve"> : </v>
      </c>
      <c r="I87" s="747">
        <v>0</v>
      </c>
      <c r="J87" s="744" t="str">
        <v/>
      </c>
      <c r="K87" s="729" t="str">
        <v/>
      </c>
      <c r="L87" s="198" t="str">
        <v/>
      </c>
      <c r="M87" s="730" t="str">
        <v/>
      </c>
      <c r="O87" s="753" t="str">
        <v>DR Congo</v>
      </c>
      <c r="P87" s="198">
        <v>0</v>
      </c>
      <c r="Q87" s="198">
        <v>0</v>
      </c>
      <c r="R87" s="733">
        <v>0</v>
      </c>
      <c r="S87" s="735" t="str">
        <f>Language!$E$197</f>
        <v xml:space="preserve"> : </v>
      </c>
      <c r="T87" s="747">
        <f t="shared" si="40"/>
        <v>0</v>
      </c>
      <c r="U87" s="744" t="str">
        <v/>
      </c>
      <c r="V87" s="729" t="str">
        <v/>
      </c>
      <c r="W87" s="198" t="str">
        <v/>
      </c>
      <c r="X87" s="730" t="str">
        <v/>
      </c>
      <c r="Z87" s="753" t="str">
        <v/>
      </c>
      <c r="AA87" s="198" t="str">
        <v/>
      </c>
      <c r="AB87" s="198" t="str">
        <v/>
      </c>
      <c r="AC87" s="733" t="str">
        <v/>
      </c>
      <c r="AD87" s="735" t="str">
        <f>Language!$E$197</f>
        <v xml:space="preserve"> : </v>
      </c>
      <c r="AE87" s="747" t="str">
        <f t="shared" si="41"/>
        <v/>
      </c>
      <c r="AF87" s="744" t="str">
        <v/>
      </c>
      <c r="AG87" s="729" t="str">
        <v/>
      </c>
      <c r="AH87" s="198" t="str">
        <v/>
      </c>
      <c r="AI87" s="730" t="str">
        <v/>
      </c>
      <c r="AK87" s="753" t="str">
        <v/>
      </c>
      <c r="AL87" s="198" t="str">
        <v/>
      </c>
      <c r="AM87" s="198" t="str">
        <v/>
      </c>
      <c r="AN87" s="733" t="str">
        <v/>
      </c>
      <c r="AO87" s="735" t="str">
        <f>Language!$E$197</f>
        <v xml:space="preserve"> : </v>
      </c>
      <c r="AP87" s="747" t="str">
        <f t="shared" si="42"/>
        <v/>
      </c>
      <c r="AQ87" s="744" t="str">
        <v/>
      </c>
      <c r="AR87" s="729" t="str">
        <v/>
      </c>
      <c r="AS87" s="198" t="str">
        <v/>
      </c>
      <c r="AT87" s="730" t="str">
        <v/>
      </c>
      <c r="AV87" s="765">
        <v>0</v>
      </c>
      <c r="AW87" s="730">
        <v>46</v>
      </c>
    </row>
    <row r="88" spans="2:49">
      <c r="B88" s="757" t="str">
        <v/>
      </c>
      <c r="D88" s="753" t="str">
        <v>Oezbekistan</v>
      </c>
      <c r="E88" s="198">
        <v>0</v>
      </c>
      <c r="F88" s="198">
        <f t="shared" si="43"/>
        <v>0</v>
      </c>
      <c r="G88" s="733">
        <v>0</v>
      </c>
      <c r="H88" s="735" t="str">
        <f>Language!$E$197</f>
        <v xml:space="preserve"> : </v>
      </c>
      <c r="I88" s="747">
        <v>0</v>
      </c>
      <c r="J88" s="744" t="str">
        <v/>
      </c>
      <c r="K88" s="198" t="str">
        <v/>
      </c>
      <c r="L88" s="729" t="str">
        <v/>
      </c>
      <c r="M88" s="730" t="str">
        <v/>
      </c>
      <c r="O88" s="753" t="str">
        <v>Oezbekistan</v>
      </c>
      <c r="P88" s="198">
        <v>0</v>
      </c>
      <c r="Q88" s="198">
        <v>0</v>
      </c>
      <c r="R88" s="733">
        <v>0</v>
      </c>
      <c r="S88" s="735" t="str">
        <f>Language!$E$197</f>
        <v xml:space="preserve"> : </v>
      </c>
      <c r="T88" s="747">
        <f t="shared" si="40"/>
        <v>0</v>
      </c>
      <c r="U88" s="744" t="str">
        <v/>
      </c>
      <c r="V88" s="198" t="str">
        <v/>
      </c>
      <c r="W88" s="729" t="str">
        <v/>
      </c>
      <c r="X88" s="730" t="str">
        <v/>
      </c>
      <c r="Z88" s="753" t="str">
        <v/>
      </c>
      <c r="AA88" s="198" t="str">
        <v/>
      </c>
      <c r="AB88" s="198" t="str">
        <v/>
      </c>
      <c r="AC88" s="733" t="str">
        <v/>
      </c>
      <c r="AD88" s="735" t="str">
        <f>Language!$E$197</f>
        <v xml:space="preserve"> : </v>
      </c>
      <c r="AE88" s="747" t="str">
        <f t="shared" si="41"/>
        <v/>
      </c>
      <c r="AF88" s="744" t="str">
        <v/>
      </c>
      <c r="AG88" s="198" t="str">
        <v/>
      </c>
      <c r="AH88" s="729" t="str">
        <v/>
      </c>
      <c r="AI88" s="730" t="str">
        <v/>
      </c>
      <c r="AK88" s="753" t="str">
        <v/>
      </c>
      <c r="AL88" s="198" t="str">
        <v/>
      </c>
      <c r="AM88" s="198" t="str">
        <v/>
      </c>
      <c r="AN88" s="733" t="str">
        <v/>
      </c>
      <c r="AO88" s="735" t="str">
        <f>Language!$E$197</f>
        <v xml:space="preserve"> : </v>
      </c>
      <c r="AP88" s="747" t="str">
        <f t="shared" si="42"/>
        <v/>
      </c>
      <c r="AQ88" s="744" t="str">
        <v/>
      </c>
      <c r="AR88" s="198" t="str">
        <v/>
      </c>
      <c r="AS88" s="729" t="str">
        <v/>
      </c>
      <c r="AT88" s="730" t="str">
        <v/>
      </c>
      <c r="AV88" s="765">
        <v>0</v>
      </c>
      <c r="AW88" s="730">
        <v>50</v>
      </c>
    </row>
    <row r="89" spans="2:49" ht="15" thickBot="1">
      <c r="B89" s="757" t="str">
        <v/>
      </c>
      <c r="D89" s="754" t="str">
        <v>Colombia</v>
      </c>
      <c r="E89" s="731">
        <v>0</v>
      </c>
      <c r="F89" s="731">
        <f t="shared" si="43"/>
        <v>0</v>
      </c>
      <c r="G89" s="734">
        <v>0</v>
      </c>
      <c r="H89" s="736" t="str">
        <f>Language!$E$197</f>
        <v xml:space="preserve"> : </v>
      </c>
      <c r="I89" s="748">
        <v>0</v>
      </c>
      <c r="J89" s="745" t="str">
        <v/>
      </c>
      <c r="K89" s="731" t="str">
        <v/>
      </c>
      <c r="L89" s="731" t="str">
        <v/>
      </c>
      <c r="M89" s="732" t="str">
        <v/>
      </c>
      <c r="O89" s="754" t="str">
        <v>Colombia</v>
      </c>
      <c r="P89" s="731">
        <v>0</v>
      </c>
      <c r="Q89" s="731">
        <v>0</v>
      </c>
      <c r="R89" s="734">
        <v>0</v>
      </c>
      <c r="S89" s="736" t="str">
        <f>Language!$E$197</f>
        <v xml:space="preserve"> : </v>
      </c>
      <c r="T89" s="748">
        <f t="shared" si="40"/>
        <v>0</v>
      </c>
      <c r="U89" s="745" t="str">
        <v/>
      </c>
      <c r="V89" s="731" t="str">
        <v/>
      </c>
      <c r="W89" s="731" t="str">
        <v/>
      </c>
      <c r="X89" s="732" t="str">
        <v/>
      </c>
      <c r="Z89" s="754" t="str">
        <v/>
      </c>
      <c r="AA89" s="731" t="str">
        <v/>
      </c>
      <c r="AB89" s="731" t="str">
        <v/>
      </c>
      <c r="AC89" s="734" t="str">
        <v/>
      </c>
      <c r="AD89" s="736" t="str">
        <f>Language!$E$197</f>
        <v xml:space="preserve"> : </v>
      </c>
      <c r="AE89" s="748" t="str">
        <f t="shared" si="41"/>
        <v/>
      </c>
      <c r="AF89" s="745" t="str">
        <v/>
      </c>
      <c r="AG89" s="731" t="str">
        <v/>
      </c>
      <c r="AH89" s="731" t="str">
        <v/>
      </c>
      <c r="AI89" s="732" t="str">
        <v/>
      </c>
      <c r="AK89" s="754" t="str">
        <v/>
      </c>
      <c r="AL89" s="731" t="str">
        <v/>
      </c>
      <c r="AM89" s="731" t="str">
        <v/>
      </c>
      <c r="AN89" s="734" t="str">
        <v/>
      </c>
      <c r="AO89" s="736" t="str">
        <f>Language!$E$197</f>
        <v xml:space="preserve"> : </v>
      </c>
      <c r="AP89" s="748" t="str">
        <f t="shared" si="42"/>
        <v/>
      </c>
      <c r="AQ89" s="745" t="str">
        <v/>
      </c>
      <c r="AR89" s="731" t="str">
        <v/>
      </c>
      <c r="AS89" s="731" t="str">
        <v/>
      </c>
      <c r="AT89" s="732" t="str">
        <v/>
      </c>
      <c r="AV89" s="766">
        <v>0</v>
      </c>
      <c r="AW89" s="767">
        <v>13</v>
      </c>
    </row>
    <row r="90" spans="2:49" ht="15" thickTop="1"/>
    <row r="91" spans="2:49"/>
    <row r="92" spans="2:49" ht="15" thickBot="1">
      <c r="Z92" s="780" t="str">
        <f>IF(COUNTBLANK(CalcL!$BN$14:$BN$17)&lt;4,Language!$E$136,"")</f>
        <v/>
      </c>
      <c r="AK92" s="780" t="str">
        <f>IF(COUNTBLANK(CalcL!$BZ$14:$BZ$17)&lt;4,Language!$E$136,"")</f>
        <v/>
      </c>
    </row>
    <row r="93" spans="2:49" ht="24.5" thickTop="1">
      <c r="B93" s="755" t="s">
        <v>34</v>
      </c>
      <c r="C93" s="728"/>
      <c r="D93" s="739"/>
      <c r="E93" s="750" t="str">
        <f>Language!$E$131</f>
        <v>Ptn.</v>
      </c>
      <c r="F93" s="750" t="str">
        <f>Language!$E$132</f>
        <v>DS</v>
      </c>
      <c r="G93" s="843" t="str">
        <f>Language!$E$133</f>
        <v>Doelpunten</v>
      </c>
      <c r="H93" s="844"/>
      <c r="I93" s="844"/>
      <c r="J93" s="742" t="str">
        <f t="array" ref="J93:M93">LEFT(CalcL!$H$21:$K$21,$D$4)</f>
        <v>Engelan</v>
      </c>
      <c r="K93" s="740" t="str">
        <v>Kroatië</v>
      </c>
      <c r="L93" s="740" t="str">
        <v>Ghana</v>
      </c>
      <c r="M93" s="741" t="str">
        <v>Panama</v>
      </c>
      <c r="O93" s="739"/>
      <c r="P93" s="750" t="str">
        <f>Language!$E$131</f>
        <v>Ptn.</v>
      </c>
      <c r="Q93" s="750" t="str">
        <f>Language!$E$132</f>
        <v>DS</v>
      </c>
      <c r="R93" s="843" t="str">
        <f>Language!$E$133</f>
        <v>Doelpunten</v>
      </c>
      <c r="S93" s="844"/>
      <c r="T93" s="844"/>
      <c r="U93" s="742" t="str">
        <f t="array" ref="U93:X93">LEFT(CalcL!$BE$13:$BH$13,$D$4)</f>
        <v>Engelan</v>
      </c>
      <c r="V93" s="740" t="str">
        <v>Kroatië</v>
      </c>
      <c r="W93" s="740" t="str">
        <v>Ghana</v>
      </c>
      <c r="X93" s="741" t="str">
        <v>Panama</v>
      </c>
      <c r="Z93" s="739"/>
      <c r="AA93" s="750" t="str">
        <f>Language!$E$131</f>
        <v>Ptn.</v>
      </c>
      <c r="AB93" s="750" t="str">
        <f>Language!$E$132</f>
        <v>DS</v>
      </c>
      <c r="AC93" s="843" t="str">
        <f>Language!$E$133</f>
        <v>Doelpunten</v>
      </c>
      <c r="AD93" s="844"/>
      <c r="AE93" s="844"/>
      <c r="AF93" s="742" t="str">
        <f t="array" ref="AF93:AI93">IF(COUNTBLANK(CalcL!$AZ$22:$AZ$25)&lt;4,LEFT(CalcL!$BE$21:$BH$21,$D$4),LEFT(CalcL!$BS$13:$BV$13,$D$4))</f>
        <v/>
      </c>
      <c r="AG93" s="740" t="str">
        <v/>
      </c>
      <c r="AH93" s="740" t="str">
        <v/>
      </c>
      <c r="AI93" s="741" t="str">
        <v/>
      </c>
      <c r="AK93" s="739"/>
      <c r="AL93" s="750" t="str">
        <f>Language!$E$131</f>
        <v>Ptn.</v>
      </c>
      <c r="AM93" s="750" t="str">
        <f>Language!$E$132</f>
        <v>DS</v>
      </c>
      <c r="AN93" s="843" t="str">
        <f>Language!$E$133</f>
        <v>Doelpunten</v>
      </c>
      <c r="AO93" s="844"/>
      <c r="AP93" s="844"/>
      <c r="AQ93" s="742" t="str">
        <f t="array" ref="AQ93:AT93">LEFT(CalcL!$CE$13:$CH$13,$D$4)</f>
        <v/>
      </c>
      <c r="AR93" s="740" t="str">
        <v/>
      </c>
      <c r="AS93" s="740" t="str">
        <v/>
      </c>
      <c r="AT93" s="741" t="str">
        <v/>
      </c>
      <c r="AV93" s="762" t="str">
        <f>Language!$E$123</f>
        <v>Fair-Play</v>
      </c>
      <c r="AW93" s="763" t="str">
        <f>Language!$E$186</f>
        <v>FIFA-rank.</v>
      </c>
    </row>
    <row r="94" spans="2:49">
      <c r="B94" s="757" t="str">
        <f t="array" ref="B94:B97">IF(CalcL!$M$22:$M$25,"•","")</f>
        <v/>
      </c>
      <c r="D94" s="752" t="str">
        <f t="array" ref="D94:D97">CalcL!$D$22:$D$25</f>
        <v>Engeland</v>
      </c>
      <c r="E94" s="352">
        <f t="array" ref="E94:E97">CalcL!$E$22:$E$25</f>
        <v>0</v>
      </c>
      <c r="F94" s="352">
        <f>G94-I94</f>
        <v>0</v>
      </c>
      <c r="G94" s="737">
        <f t="array" ref="G94:G97">CalcL!$F$22:$F$25</f>
        <v>0</v>
      </c>
      <c r="H94" s="749" t="str">
        <f>Language!$E$197</f>
        <v xml:space="preserve"> : </v>
      </c>
      <c r="I94" s="746">
        <f t="array" ref="I94:I97">CalcL!$G$22:$G$25</f>
        <v>0</v>
      </c>
      <c r="J94" s="743" t="str">
        <f t="array" ref="J94:M97">CalcL!$H$22:$K$25</f>
        <v/>
      </c>
      <c r="K94" s="352" t="str">
        <v/>
      </c>
      <c r="L94" s="352" t="str">
        <v/>
      </c>
      <c r="M94" s="738" t="str">
        <v/>
      </c>
      <c r="O94" s="752" t="str">
        <f t="array" ref="O94:O97">CalcL!$AZ$14:$AZ$17</f>
        <v>Engeland</v>
      </c>
      <c r="P94" s="352">
        <f t="array" ref="P94:P97">CalcL!$BA$14:$BA$17</f>
        <v>0</v>
      </c>
      <c r="Q94" s="352">
        <f t="array" ref="Q94:Q97">CalcL!$BB$14:$BB$17</f>
        <v>0</v>
      </c>
      <c r="R94" s="737">
        <f t="array" ref="R94:R97">CalcL!$BC$14:$BC$17</f>
        <v>0</v>
      </c>
      <c r="S94" s="749" t="str">
        <f>Language!$E$197</f>
        <v xml:space="preserve"> : </v>
      </c>
      <c r="T94" s="746">
        <f t="shared" ref="T94:T97" si="44">IF(O94="","",R94-Q94)</f>
        <v>0</v>
      </c>
      <c r="U94" s="743" t="str">
        <f t="array" ref="U94:X97">CalcL!$BE$14:$BH$17</f>
        <v/>
      </c>
      <c r="V94" s="352" t="str">
        <v/>
      </c>
      <c r="W94" s="352" t="str">
        <v/>
      </c>
      <c r="X94" s="738" t="str">
        <v/>
      </c>
      <c r="Z94" s="752" t="str">
        <f t="array" ref="Z94:Z97">IF(COUNTBLANK(CalcL!$AZ$22:$AZ$25)&lt;4,CalcL!$AZ$22:$AZ$25,CalcL!$BN$14:$BN$17)</f>
        <v/>
      </c>
      <c r="AA94" s="352" t="str">
        <f t="array" ref="AA94:AA97">IF(COUNTBLANK(CalcL!$AZ$22:$AZ$25)&lt;4,CalcL!$BA$22:$BA$25,CalcL!$BO$14:$BO$17)</f>
        <v/>
      </c>
      <c r="AB94" s="352" t="str">
        <f t="array" ref="AB94:AB97">IF(COUNTBLANK(CalcL!$AZ$22:$AZ$25)&lt;4,CalcL!$BB$22:$BB$25,CalcL!$BP$14:$BP$17)</f>
        <v/>
      </c>
      <c r="AC94" s="737" t="str">
        <f t="array" ref="AC94:AC97">IF(COUNTBLANK(CalcL!$AZ$22:$AZ$25)&lt;4,CalcL!$BC$22:$BC$25,CalcL!$BQ$14:$BQ$17)</f>
        <v/>
      </c>
      <c r="AD94" s="749" t="str">
        <f>Language!$E$197</f>
        <v xml:space="preserve"> : </v>
      </c>
      <c r="AE94" s="746" t="str">
        <f t="shared" ref="AE94:AE97" si="45">IF(Z94="","",AC94-AB94)</f>
        <v/>
      </c>
      <c r="AF94" s="743" t="str">
        <f t="array" ref="AF94:AI97">IF(COUNTBLANK(CalcL!$AZ$22:$AZ$25)&lt;4,CalcL!$BE$22:$BH$25,CalcL!$BS$14:$BV$17)</f>
        <v/>
      </c>
      <c r="AG94" s="352" t="str">
        <v/>
      </c>
      <c r="AH94" s="352" t="str">
        <v/>
      </c>
      <c r="AI94" s="738" t="str">
        <v/>
      </c>
      <c r="AK94" s="752" t="str">
        <f t="array" ref="AK94:AK97">CalcL!$BZ$14:$BZ$17</f>
        <v/>
      </c>
      <c r="AL94" s="352" t="str">
        <f t="array" ref="AL94:AL97">CalcL!$CA$14:$CA$17</f>
        <v/>
      </c>
      <c r="AM94" s="352" t="str">
        <f t="array" ref="AM94:AM97">CalcL!$CB$14:$CB$17</f>
        <v/>
      </c>
      <c r="AN94" s="737" t="str">
        <f t="array" ref="AN94:AN97">CalcL!$CC$14:$CC$17</f>
        <v/>
      </c>
      <c r="AO94" s="749" t="str">
        <f>Language!$E$197</f>
        <v xml:space="preserve"> : </v>
      </c>
      <c r="AP94" s="746" t="str">
        <f t="shared" ref="AP94:AP97" si="46">IF(AK94="","",AN94-AM94)</f>
        <v/>
      </c>
      <c r="AQ94" s="743" t="str">
        <f t="array" ref="AQ94:AT97">CalcL!$CE$14:$CH$17</f>
        <v/>
      </c>
      <c r="AR94" s="352" t="str">
        <v/>
      </c>
      <c r="AS94" s="352" t="str">
        <v/>
      </c>
      <c r="AT94" s="738" t="str">
        <v/>
      </c>
      <c r="AV94" s="764">
        <f t="array" ref="AV94:AV97">VLOOKUP($D94:$D97,CalcL!$D$5:$P$8,13,0)</f>
        <v>0</v>
      </c>
      <c r="AW94" s="738">
        <f t="array" ref="AW94:AW97">VLOOKUP($D94:$D97,CalcL!$D$5:$Q$8,14,0)</f>
        <v>4</v>
      </c>
    </row>
    <row r="95" spans="2:49">
      <c r="B95" s="757" t="str">
        <v/>
      </c>
      <c r="D95" s="753" t="str">
        <v>Kroatië</v>
      </c>
      <c r="E95" s="198">
        <v>0</v>
      </c>
      <c r="F95" s="198">
        <f t="shared" ref="F95:F97" si="47">G95-I95</f>
        <v>0</v>
      </c>
      <c r="G95" s="733">
        <v>0</v>
      </c>
      <c r="H95" s="735" t="str">
        <f>Language!$E$197</f>
        <v xml:space="preserve"> : </v>
      </c>
      <c r="I95" s="747">
        <v>0</v>
      </c>
      <c r="J95" s="744" t="str">
        <v/>
      </c>
      <c r="K95" s="729" t="str">
        <v/>
      </c>
      <c r="L95" s="198" t="str">
        <v/>
      </c>
      <c r="M95" s="730" t="str">
        <v/>
      </c>
      <c r="O95" s="753" t="str">
        <v>Kroatië</v>
      </c>
      <c r="P95" s="198">
        <v>0</v>
      </c>
      <c r="Q95" s="198">
        <v>0</v>
      </c>
      <c r="R95" s="733">
        <v>0</v>
      </c>
      <c r="S95" s="735" t="str">
        <f>Language!$E$197</f>
        <v xml:space="preserve"> : </v>
      </c>
      <c r="T95" s="747">
        <f t="shared" si="44"/>
        <v>0</v>
      </c>
      <c r="U95" s="744" t="str">
        <v/>
      </c>
      <c r="V95" s="729" t="str">
        <v/>
      </c>
      <c r="W95" s="198" t="str">
        <v/>
      </c>
      <c r="X95" s="730" t="str">
        <v/>
      </c>
      <c r="Z95" s="753" t="str">
        <v/>
      </c>
      <c r="AA95" s="198" t="str">
        <v/>
      </c>
      <c r="AB95" s="198" t="str">
        <v/>
      </c>
      <c r="AC95" s="733" t="str">
        <v/>
      </c>
      <c r="AD95" s="735" t="str">
        <f>Language!$E$197</f>
        <v xml:space="preserve"> : </v>
      </c>
      <c r="AE95" s="747" t="str">
        <f t="shared" si="45"/>
        <v/>
      </c>
      <c r="AF95" s="744" t="str">
        <v/>
      </c>
      <c r="AG95" s="729" t="str">
        <v/>
      </c>
      <c r="AH95" s="198" t="str">
        <v/>
      </c>
      <c r="AI95" s="730" t="str">
        <v/>
      </c>
      <c r="AK95" s="753" t="str">
        <v/>
      </c>
      <c r="AL95" s="198" t="str">
        <v/>
      </c>
      <c r="AM95" s="198" t="str">
        <v/>
      </c>
      <c r="AN95" s="733" t="str">
        <v/>
      </c>
      <c r="AO95" s="735" t="str">
        <f>Language!$E$197</f>
        <v xml:space="preserve"> : </v>
      </c>
      <c r="AP95" s="747" t="str">
        <f t="shared" si="46"/>
        <v/>
      </c>
      <c r="AQ95" s="744" t="str">
        <v/>
      </c>
      <c r="AR95" s="729" t="str">
        <v/>
      </c>
      <c r="AS95" s="198" t="str">
        <v/>
      </c>
      <c r="AT95" s="730" t="str">
        <v/>
      </c>
      <c r="AV95" s="765">
        <v>0</v>
      </c>
      <c r="AW95" s="730">
        <v>11</v>
      </c>
    </row>
    <row r="96" spans="2:49">
      <c r="B96" s="757" t="str">
        <v/>
      </c>
      <c r="D96" s="753" t="str">
        <v>Ghana</v>
      </c>
      <c r="E96" s="198">
        <v>0</v>
      </c>
      <c r="F96" s="198">
        <f t="shared" si="47"/>
        <v>0</v>
      </c>
      <c r="G96" s="733">
        <v>0</v>
      </c>
      <c r="H96" s="735" t="str">
        <f>Language!$E$197</f>
        <v xml:space="preserve"> : </v>
      </c>
      <c r="I96" s="747">
        <v>0</v>
      </c>
      <c r="J96" s="744" t="str">
        <v/>
      </c>
      <c r="K96" s="198" t="str">
        <v/>
      </c>
      <c r="L96" s="729" t="str">
        <v/>
      </c>
      <c r="M96" s="730" t="str">
        <v/>
      </c>
      <c r="O96" s="753" t="str">
        <v>Ghana</v>
      </c>
      <c r="P96" s="198">
        <v>0</v>
      </c>
      <c r="Q96" s="198">
        <v>0</v>
      </c>
      <c r="R96" s="733">
        <v>0</v>
      </c>
      <c r="S96" s="735" t="str">
        <f>Language!$E$197</f>
        <v xml:space="preserve"> : </v>
      </c>
      <c r="T96" s="747">
        <f t="shared" si="44"/>
        <v>0</v>
      </c>
      <c r="U96" s="744" t="str">
        <v/>
      </c>
      <c r="V96" s="198" t="str">
        <v/>
      </c>
      <c r="W96" s="729" t="str">
        <v/>
      </c>
      <c r="X96" s="730" t="str">
        <v/>
      </c>
      <c r="Z96" s="753" t="str">
        <v/>
      </c>
      <c r="AA96" s="198" t="str">
        <v/>
      </c>
      <c r="AB96" s="198" t="str">
        <v/>
      </c>
      <c r="AC96" s="733" t="str">
        <v/>
      </c>
      <c r="AD96" s="735" t="str">
        <f>Language!$E$197</f>
        <v xml:space="preserve"> : </v>
      </c>
      <c r="AE96" s="747" t="str">
        <f t="shared" si="45"/>
        <v/>
      </c>
      <c r="AF96" s="744" t="str">
        <v/>
      </c>
      <c r="AG96" s="198" t="str">
        <v/>
      </c>
      <c r="AH96" s="729" t="str">
        <v/>
      </c>
      <c r="AI96" s="730" t="str">
        <v/>
      </c>
      <c r="AK96" s="753" t="str">
        <v/>
      </c>
      <c r="AL96" s="198" t="str">
        <v/>
      </c>
      <c r="AM96" s="198" t="str">
        <v/>
      </c>
      <c r="AN96" s="733" t="str">
        <v/>
      </c>
      <c r="AO96" s="735" t="str">
        <f>Language!$E$197</f>
        <v xml:space="preserve"> : </v>
      </c>
      <c r="AP96" s="747" t="str">
        <f t="shared" si="46"/>
        <v/>
      </c>
      <c r="AQ96" s="744" t="str">
        <v/>
      </c>
      <c r="AR96" s="198" t="str">
        <v/>
      </c>
      <c r="AS96" s="729" t="str">
        <v/>
      </c>
      <c r="AT96" s="730" t="str">
        <v/>
      </c>
      <c r="AV96" s="765">
        <v>0</v>
      </c>
      <c r="AW96" s="730">
        <v>74</v>
      </c>
    </row>
    <row r="97" spans="2:49" ht="15" thickBot="1">
      <c r="B97" s="757" t="str">
        <v/>
      </c>
      <c r="D97" s="754" t="str">
        <v>Panama</v>
      </c>
      <c r="E97" s="731">
        <v>0</v>
      </c>
      <c r="F97" s="731">
        <f t="shared" si="47"/>
        <v>0</v>
      </c>
      <c r="G97" s="734">
        <v>0</v>
      </c>
      <c r="H97" s="736" t="str">
        <f>Language!$E$197</f>
        <v xml:space="preserve"> : </v>
      </c>
      <c r="I97" s="748">
        <v>0</v>
      </c>
      <c r="J97" s="745" t="str">
        <v/>
      </c>
      <c r="K97" s="731" t="str">
        <v/>
      </c>
      <c r="L97" s="731" t="str">
        <v/>
      </c>
      <c r="M97" s="732" t="str">
        <v/>
      </c>
      <c r="O97" s="754" t="str">
        <v>Panama</v>
      </c>
      <c r="P97" s="731">
        <v>0</v>
      </c>
      <c r="Q97" s="731">
        <v>0</v>
      </c>
      <c r="R97" s="734">
        <v>0</v>
      </c>
      <c r="S97" s="736" t="str">
        <f>Language!$E$197</f>
        <v xml:space="preserve"> : </v>
      </c>
      <c r="T97" s="748">
        <f t="shared" si="44"/>
        <v>0</v>
      </c>
      <c r="U97" s="745" t="str">
        <v/>
      </c>
      <c r="V97" s="731" t="str">
        <v/>
      </c>
      <c r="W97" s="731" t="str">
        <v/>
      </c>
      <c r="X97" s="732" t="str">
        <v/>
      </c>
      <c r="Z97" s="754" t="str">
        <v/>
      </c>
      <c r="AA97" s="731" t="str">
        <v/>
      </c>
      <c r="AB97" s="731" t="str">
        <v/>
      </c>
      <c r="AC97" s="734" t="str">
        <v/>
      </c>
      <c r="AD97" s="736" t="str">
        <f>Language!$E$197</f>
        <v xml:space="preserve"> : </v>
      </c>
      <c r="AE97" s="748" t="str">
        <f t="shared" si="45"/>
        <v/>
      </c>
      <c r="AF97" s="745" t="str">
        <v/>
      </c>
      <c r="AG97" s="731" t="str">
        <v/>
      </c>
      <c r="AH97" s="731" t="str">
        <v/>
      </c>
      <c r="AI97" s="732" t="str">
        <v/>
      </c>
      <c r="AK97" s="754" t="str">
        <v/>
      </c>
      <c r="AL97" s="731" t="str">
        <v/>
      </c>
      <c r="AM97" s="731" t="str">
        <v/>
      </c>
      <c r="AN97" s="734" t="str">
        <v/>
      </c>
      <c r="AO97" s="736" t="str">
        <f>Language!$E$197</f>
        <v xml:space="preserve"> : </v>
      </c>
      <c r="AP97" s="748" t="str">
        <f t="shared" si="46"/>
        <v/>
      </c>
      <c r="AQ97" s="745" t="str">
        <v/>
      </c>
      <c r="AR97" s="731" t="str">
        <v/>
      </c>
      <c r="AS97" s="731" t="str">
        <v/>
      </c>
      <c r="AT97" s="732" t="str">
        <v/>
      </c>
      <c r="AV97" s="766">
        <v>0</v>
      </c>
      <c r="AW97" s="767">
        <v>33</v>
      </c>
    </row>
    <row r="98" spans="2:49" ht="15" thickTop="1"/>
    <row r="99" spans="2:49">
      <c r="C99" s="756" t="s">
        <v>1822</v>
      </c>
      <c r="D99" s="845" t="str">
        <f>Language!$E$199</f>
        <v>Een rode stip betekent dat de fair play rating of de FIFA-wereldranking de plaatsing van dit team zal bepalen</v>
      </c>
      <c r="E99" s="845"/>
      <c r="F99" s="845"/>
      <c r="G99" s="845"/>
      <c r="H99" s="845"/>
      <c r="I99" s="845"/>
      <c r="J99" s="845"/>
      <c r="K99" s="845"/>
      <c r="L99" s="845"/>
      <c r="M99" s="845"/>
    </row>
    <row r="100" spans="2:49">
      <c r="D100" s="845"/>
      <c r="E100" s="845"/>
      <c r="F100" s="845"/>
      <c r="G100" s="845"/>
      <c r="H100" s="845"/>
      <c r="I100" s="845"/>
      <c r="J100" s="845"/>
      <c r="K100" s="845"/>
      <c r="L100" s="845"/>
      <c r="M100" s="845"/>
    </row>
    <row r="101" spans="2:49" ht="15" customHeight="1">
      <c r="D101" s="845"/>
      <c r="E101" s="845"/>
      <c r="F101" s="845"/>
      <c r="G101" s="845"/>
      <c r="H101" s="845"/>
      <c r="I101" s="845"/>
      <c r="J101" s="845"/>
      <c r="K101" s="845"/>
      <c r="L101" s="845"/>
      <c r="M101" s="845"/>
    </row>
    <row r="102" spans="2:49"/>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topLeftCell="A85" zoomScaleNormal="100" workbookViewId="0">
      <selection activeCell="X21" sqref="X21"/>
    </sheetView>
  </sheetViews>
  <sheetFormatPr defaultColWidth="11.453125" defaultRowHeight="15.5" zeroHeight="1"/>
  <cols>
    <col min="1" max="1" width="3.26953125" style="193" customWidth="1"/>
    <col min="2" max="2" width="4.7265625" style="193" customWidth="1"/>
    <col min="3" max="3" width="15.7265625" customWidth="1"/>
    <col min="4" max="4" width="4.7265625" customWidth="1"/>
    <col min="5" max="5" width="15.7265625" customWidth="1"/>
    <col min="6" max="7" width="4.7265625" style="19" customWidth="1"/>
    <col min="8" max="8" width="9.81640625" style="22" customWidth="1"/>
    <col min="9" max="9" width="4.7265625" style="22" customWidth="1"/>
    <col min="10" max="10" width="15.7265625" style="22" customWidth="1"/>
    <col min="11" max="11" width="4.7265625" style="22" customWidth="1"/>
    <col min="12" max="12" width="15.7265625" style="22" customWidth="1"/>
    <col min="13" max="14" width="4.7265625" style="22" customWidth="1"/>
    <col min="15" max="20" width="3.7265625" style="22" customWidth="1"/>
    <col min="21" max="21" width="10.90625"/>
    <col min="22" max="22" width="4.7265625" style="22" customWidth="1"/>
    <col min="23" max="23" width="15.7265625" style="22" customWidth="1"/>
    <col min="24" max="24" width="4.7265625" style="22" customWidth="1"/>
    <col min="25" max="25" width="15.7265625" style="22" customWidth="1"/>
    <col min="26" max="27" width="4.7265625" style="22" customWidth="1"/>
    <col min="28" max="33" width="3.7265625" style="22" customWidth="1"/>
    <col min="35" max="35" width="4.7265625" style="22" customWidth="1"/>
    <col min="36" max="36" width="15.7265625" style="22" customWidth="1"/>
    <col min="37" max="37" width="4.7265625" style="22" customWidth="1"/>
    <col min="38" max="38" width="15.7265625" style="22" customWidth="1"/>
    <col min="39" max="40" width="4.7265625" style="22" customWidth="1"/>
    <col min="41" max="46" width="3.7265625" style="22" customWidth="1"/>
    <col min="48" max="48" width="4.7265625" style="22" customWidth="1"/>
    <col min="49" max="49" width="15.7265625" style="22" customWidth="1"/>
    <col min="50" max="50" width="4.7265625" style="22" customWidth="1"/>
    <col min="51" max="51" width="15.7265625" style="22" customWidth="1"/>
    <col min="52" max="53" width="4.7265625" style="22" customWidth="1"/>
    <col min="54" max="59" width="3.7265625" style="22" customWidth="1"/>
    <col min="61" max="61" width="4.7265625" style="22" customWidth="1"/>
    <col min="62" max="62" width="15.7265625" style="22" customWidth="1"/>
    <col min="63" max="63" width="4.7265625" style="22" customWidth="1"/>
    <col min="64" max="64" width="15.7265625" style="22" customWidth="1"/>
    <col min="65" max="66" width="4.7265625" style="22" customWidth="1"/>
    <col min="67" max="72" width="3.7265625" style="22" customWidth="1"/>
    <col min="74" max="74" width="4.7265625" style="22" customWidth="1"/>
    <col min="75" max="75" width="15.7265625" style="22" customWidth="1"/>
    <col min="76" max="76" width="4.7265625" style="22" customWidth="1"/>
    <col min="77" max="77" width="15.7265625" style="22" customWidth="1"/>
    <col min="78" max="79" width="4.7265625" style="22" customWidth="1"/>
    <col min="80" max="85" width="3.7265625" style="22" customWidth="1"/>
    <col min="87" max="87" width="4.7265625" style="22" customWidth="1"/>
    <col min="88" max="88" width="15.7265625" style="22" customWidth="1"/>
    <col min="89" max="89" width="4.7265625" style="22" customWidth="1"/>
    <col min="90" max="90" width="15.7265625" style="22" customWidth="1"/>
    <col min="91" max="92" width="4.7265625" style="22" customWidth="1"/>
    <col min="93" max="98" width="3.7265625" style="22" customWidth="1"/>
    <col min="100" max="100" width="4.7265625" style="22" customWidth="1"/>
    <col min="101" max="101" width="15.7265625" style="22" customWidth="1"/>
    <col min="102" max="102" width="4.7265625" style="22" customWidth="1"/>
    <col min="103" max="103" width="15.7265625" style="22" customWidth="1"/>
    <col min="104" max="105" width="4.7265625" style="22" customWidth="1"/>
    <col min="106" max="111" width="3.7265625" style="22" customWidth="1"/>
    <col min="113" max="113" width="4.7265625" style="22" customWidth="1"/>
    <col min="114" max="114" width="15.7265625" style="22" customWidth="1"/>
    <col min="115" max="115" width="4.7265625" style="22" customWidth="1"/>
    <col min="116" max="116" width="15.7265625" style="22" customWidth="1"/>
    <col min="117" max="118" width="4.7265625" style="22" customWidth="1"/>
    <col min="119" max="124" width="3.7265625" style="22" customWidth="1"/>
    <col min="126" max="126" width="4.7265625" style="22" customWidth="1"/>
    <col min="127" max="127" width="15.7265625" style="22" customWidth="1"/>
    <col min="128" max="128" width="4.7265625" style="22" customWidth="1"/>
    <col min="129" max="129" width="15.7265625" style="22" customWidth="1"/>
    <col min="130" max="131" width="4.7265625" style="22" customWidth="1"/>
    <col min="132" max="137" width="3.7265625" style="22" customWidth="1"/>
    <col min="139" max="139" width="4.7265625" style="22" customWidth="1"/>
    <col min="140" max="140" width="15.7265625" style="22" customWidth="1"/>
    <col min="141" max="141" width="4.7265625" style="22" customWidth="1"/>
    <col min="142" max="142" width="15.7265625" style="22" customWidth="1"/>
    <col min="143" max="144" width="4.7265625" style="22" customWidth="1"/>
    <col min="145" max="150" width="3.7265625" style="22" customWidth="1"/>
    <col min="152" max="152" width="4.7265625" style="22" customWidth="1"/>
    <col min="153" max="153" width="15.7265625" style="22" customWidth="1"/>
    <col min="154" max="154" width="4.7265625" style="22" customWidth="1"/>
    <col min="155" max="155" width="15.7265625" style="22" customWidth="1"/>
    <col min="156" max="157" width="4.7265625" style="22" customWidth="1"/>
    <col min="158" max="163" width="3.7265625" style="22" customWidth="1"/>
    <col min="165" max="165" width="4.7265625" style="22" customWidth="1"/>
    <col min="166" max="166" width="15.7265625" style="22" customWidth="1"/>
    <col min="167" max="167" width="4.7265625" style="22" customWidth="1"/>
    <col min="168" max="168" width="15.7265625" style="22" customWidth="1"/>
    <col min="169" max="170" width="4.7265625" style="22" customWidth="1"/>
    <col min="171" max="176" width="3.7265625" style="22" customWidth="1"/>
    <col min="178" max="178" width="4.7265625" style="22" customWidth="1"/>
    <col min="179" max="179" width="15.7265625" style="22" customWidth="1"/>
    <col min="180" max="180" width="4.7265625" style="22" customWidth="1"/>
    <col min="181" max="181" width="15.7265625" style="22" customWidth="1"/>
    <col min="182" max="183" width="4.7265625" style="22" customWidth="1"/>
    <col min="184" max="189" width="3.7265625" style="22" customWidth="1"/>
    <col min="191" max="191" width="4.7265625" style="22" customWidth="1"/>
    <col min="192" max="192" width="15.7265625" style="22" customWidth="1"/>
    <col min="193" max="193" width="4.7265625" style="22" customWidth="1"/>
    <col min="194" max="194" width="15.7265625" style="22" customWidth="1"/>
    <col min="195" max="196" width="4.7265625" style="22" customWidth="1"/>
    <col min="197" max="202" width="3.7265625" style="22" customWidth="1"/>
    <col min="204" max="204" width="4.7265625" style="22" customWidth="1"/>
    <col min="205" max="205" width="15.7265625" style="22" customWidth="1"/>
    <col min="206" max="206" width="4.7265625" style="22" customWidth="1"/>
    <col min="207" max="207" width="15.7265625" style="22" customWidth="1"/>
    <col min="208" max="209" width="4.7265625" style="22" customWidth="1"/>
    <col min="210" max="215" width="3.7265625" style="22" customWidth="1"/>
    <col min="217" max="217" width="4.7265625" style="22" customWidth="1"/>
    <col min="218" max="218" width="15.7265625" style="22" customWidth="1"/>
    <col min="219" max="219" width="4.7265625" style="22" customWidth="1"/>
    <col min="220" max="220" width="15.7265625" style="22" customWidth="1"/>
    <col min="221" max="222" width="4.7265625" style="22" customWidth="1"/>
    <col min="223" max="228" width="3.7265625" style="22" customWidth="1"/>
    <col min="230" max="230" width="4.7265625" style="22" customWidth="1"/>
    <col min="231" max="231" width="15.7265625" style="22" customWidth="1"/>
    <col min="232" max="232" width="4.7265625" style="22" customWidth="1"/>
    <col min="233" max="233" width="15.7265625" style="22" customWidth="1"/>
    <col min="234" max="235" width="4.7265625" style="22" customWidth="1"/>
    <col min="236" max="241" width="3.7265625" style="22" customWidth="1"/>
    <col min="243" max="243" width="4.7265625" style="22" customWidth="1"/>
    <col min="244" max="244" width="15.7265625" style="22" customWidth="1"/>
    <col min="245" max="245" width="4.7265625" style="22" customWidth="1"/>
    <col min="246" max="246" width="15.7265625" style="22" customWidth="1"/>
    <col min="247" max="248" width="4.7265625" style="22" customWidth="1"/>
    <col min="249" max="254" width="3.7265625" style="22" customWidth="1"/>
    <col min="256" max="256" width="4.7265625" style="22" customWidth="1"/>
    <col min="257" max="257" width="15.7265625" style="22" customWidth="1"/>
    <col min="258" max="258" width="4.7265625" style="22" customWidth="1"/>
    <col min="259" max="259" width="15.7265625" style="22" customWidth="1"/>
    <col min="260" max="261" width="4.7265625" style="22" customWidth="1"/>
    <col min="262" max="267" width="3.7265625" style="22" customWidth="1"/>
    <col min="269" max="269" width="4.7265625" style="22" customWidth="1"/>
    <col min="270" max="270" width="15.7265625" style="22" customWidth="1"/>
    <col min="271" max="271" width="4.7265625" style="22" customWidth="1"/>
    <col min="272" max="272" width="15.7265625" style="22" customWidth="1"/>
    <col min="273" max="274" width="4.7265625" style="22" customWidth="1"/>
    <col min="275" max="280" width="3.7265625" style="22" customWidth="1"/>
    <col min="282" max="282" width="4.7265625" style="22" customWidth="1"/>
    <col min="283" max="283" width="15.7265625" style="22" customWidth="1"/>
    <col min="284" max="284" width="4.7265625" style="22" customWidth="1"/>
    <col min="285" max="285" width="15.7265625" style="22" customWidth="1"/>
    <col min="286" max="287" width="4.7265625" style="22" customWidth="1"/>
    <col min="288" max="293" width="3.7265625" style="22" customWidth="1"/>
    <col min="295" max="295" width="4.7265625" style="22" customWidth="1"/>
    <col min="296" max="296" width="15.7265625" style="22" customWidth="1"/>
    <col min="297" max="297" width="4.7265625" style="22" customWidth="1"/>
    <col min="298" max="298" width="15.7265625" style="22" customWidth="1"/>
    <col min="299" max="300" width="4.7265625" style="22" customWidth="1"/>
    <col min="301" max="306" width="3.7265625" style="22" customWidth="1"/>
    <col min="308" max="308" width="4.7265625" style="22" customWidth="1"/>
    <col min="309" max="309" width="15.7265625" style="22" customWidth="1"/>
    <col min="310" max="310" width="4.7265625" style="22" customWidth="1"/>
    <col min="311" max="311" width="15.7265625" style="22" customWidth="1"/>
    <col min="312" max="313" width="4.7265625" style="22" customWidth="1"/>
    <col min="314" max="319" width="3.7265625" style="22" customWidth="1"/>
    <col min="321" max="321" width="4.7265625" style="22" customWidth="1"/>
    <col min="322" max="322" width="15.7265625" style="22" customWidth="1"/>
    <col min="323" max="323" width="4.7265625" style="22" customWidth="1"/>
    <col min="324" max="324" width="15.7265625" style="22" customWidth="1"/>
    <col min="325" max="326" width="4.7265625" style="22" customWidth="1"/>
    <col min="327" max="332" width="3.7265625" style="22" customWidth="1"/>
    <col min="334" max="334" width="4.7265625" style="22" customWidth="1"/>
    <col min="335" max="335" width="15.7265625" style="22" customWidth="1"/>
    <col min="336" max="336" width="4.7265625" style="22" customWidth="1"/>
    <col min="337" max="337" width="15.7265625" style="22" customWidth="1"/>
    <col min="338" max="339" width="4.7265625" style="22" customWidth="1"/>
    <col min="340" max="345" width="3.7265625" style="22" customWidth="1"/>
  </cols>
  <sheetData>
    <row r="1" spans="1:345" ht="28.5">
      <c r="B1" s="855" t="str">
        <f>Language!$E$204</f>
        <v>Voorspellingen</v>
      </c>
      <c r="C1" s="855"/>
      <c r="D1" s="855"/>
      <c r="E1" s="855"/>
      <c r="F1" s="855"/>
      <c r="G1" s="855"/>
      <c r="U1" s="965"/>
      <c r="V1" s="966"/>
      <c r="W1" s="966"/>
      <c r="X1" s="966"/>
      <c r="Y1" s="966"/>
      <c r="Z1" s="966"/>
      <c r="AA1" s="966"/>
      <c r="AB1" s="966"/>
      <c r="AC1" s="966"/>
      <c r="AD1" s="966"/>
      <c r="AE1" s="966"/>
      <c r="AF1" s="966"/>
      <c r="AG1" s="966"/>
      <c r="AH1" s="965"/>
      <c r="AI1" s="966"/>
      <c r="AJ1" s="966"/>
      <c r="AK1" s="966"/>
      <c r="AL1" s="966"/>
      <c r="AM1" s="966"/>
      <c r="AN1" s="966"/>
      <c r="AO1" s="966"/>
      <c r="AP1" s="966"/>
      <c r="AQ1" s="966"/>
      <c r="AR1" s="966"/>
      <c r="AS1" s="966"/>
      <c r="AT1" s="966"/>
      <c r="AU1" s="965"/>
      <c r="AV1" s="966"/>
      <c r="AW1" s="966"/>
      <c r="AX1" s="966"/>
      <c r="AY1" s="966"/>
      <c r="AZ1" s="966"/>
      <c r="BA1" s="966"/>
      <c r="BB1" s="966"/>
      <c r="BC1" s="966"/>
      <c r="BD1" s="966"/>
      <c r="BE1" s="966"/>
      <c r="BF1" s="966"/>
      <c r="BG1" s="966"/>
      <c r="BH1" s="965"/>
      <c r="BI1" s="966"/>
      <c r="BJ1" s="966"/>
      <c r="BK1" s="966"/>
      <c r="BL1" s="966"/>
      <c r="BM1" s="966"/>
      <c r="BN1" s="966"/>
      <c r="BO1" s="966"/>
      <c r="BP1" s="966"/>
      <c r="BQ1" s="966"/>
      <c r="BR1" s="966"/>
      <c r="BS1" s="966"/>
      <c r="BT1" s="966"/>
      <c r="BU1" s="965"/>
      <c r="BV1" s="966"/>
      <c r="BW1" s="966"/>
      <c r="BX1" s="966"/>
      <c r="BY1" s="966"/>
      <c r="BZ1" s="966"/>
      <c r="CA1" s="966"/>
      <c r="CB1" s="966"/>
      <c r="CC1" s="966"/>
      <c r="CD1" s="966"/>
      <c r="CE1" s="966"/>
      <c r="CF1" s="966"/>
      <c r="CG1" s="966"/>
      <c r="CH1" s="965"/>
      <c r="CI1" s="966"/>
      <c r="CJ1" s="966"/>
      <c r="CK1" s="966"/>
      <c r="CL1" s="966"/>
      <c r="CM1" s="966"/>
      <c r="CN1" s="966"/>
      <c r="CO1" s="966"/>
      <c r="CP1" s="966"/>
      <c r="CQ1" s="966"/>
      <c r="CR1" s="966"/>
      <c r="CS1" s="966"/>
      <c r="CT1" s="966"/>
      <c r="CU1" s="965"/>
      <c r="CV1" s="966"/>
      <c r="CW1" s="966"/>
      <c r="CX1" s="966"/>
      <c r="CY1" s="966"/>
      <c r="CZ1" s="966"/>
      <c r="DA1" s="966"/>
      <c r="DB1" s="966"/>
      <c r="DC1" s="966"/>
      <c r="DD1" s="966"/>
      <c r="DE1" s="966"/>
      <c r="DF1" s="966"/>
      <c r="DG1" s="966"/>
      <c r="DH1" s="965"/>
      <c r="DI1" s="966"/>
      <c r="DJ1" s="966"/>
      <c r="DK1" s="966"/>
      <c r="DL1" s="966"/>
      <c r="DM1" s="966"/>
      <c r="DN1" s="966"/>
      <c r="DO1" s="966"/>
      <c r="DP1" s="966"/>
      <c r="DQ1" s="966"/>
      <c r="DR1" s="966"/>
      <c r="DS1" s="966"/>
      <c r="DT1" s="966"/>
      <c r="DU1" s="965"/>
      <c r="DV1" s="966"/>
      <c r="DW1" s="966"/>
      <c r="DX1" s="966"/>
      <c r="DY1" s="966"/>
      <c r="DZ1" s="966"/>
      <c r="EA1" s="966"/>
      <c r="EB1" s="966"/>
      <c r="EC1" s="966"/>
      <c r="ED1" s="966"/>
      <c r="EE1" s="966"/>
      <c r="EF1" s="966"/>
      <c r="EG1" s="966"/>
      <c r="EH1" s="965"/>
      <c r="EI1" s="966"/>
      <c r="EJ1" s="966"/>
      <c r="EK1" s="966"/>
      <c r="EL1" s="966"/>
      <c r="EM1" s="966"/>
      <c r="EN1" s="966"/>
      <c r="EO1" s="966"/>
      <c r="EP1" s="966"/>
      <c r="EQ1" s="966"/>
      <c r="ER1" s="966"/>
      <c r="ES1" s="966"/>
      <c r="ET1" s="966"/>
      <c r="EU1" s="965"/>
      <c r="EV1" s="966"/>
      <c r="EW1" s="966"/>
      <c r="EX1" s="966"/>
      <c r="EY1" s="966"/>
      <c r="EZ1" s="966"/>
      <c r="FA1" s="966"/>
      <c r="FB1" s="966"/>
      <c r="FC1" s="966"/>
      <c r="FD1" s="966"/>
      <c r="FE1" s="966"/>
      <c r="FF1" s="966"/>
      <c r="FG1" s="966"/>
      <c r="FH1" s="965"/>
      <c r="FI1" s="966"/>
      <c r="FJ1" s="966"/>
      <c r="FK1" s="966"/>
      <c r="FL1" s="966"/>
      <c r="FM1" s="966"/>
      <c r="FN1" s="966"/>
      <c r="FO1" s="966"/>
      <c r="FP1" s="966"/>
      <c r="FQ1" s="966"/>
      <c r="FR1" s="966"/>
      <c r="FS1" s="966"/>
      <c r="FT1" s="966"/>
      <c r="FU1" s="965"/>
      <c r="FV1" s="966"/>
      <c r="FW1" s="966"/>
      <c r="FX1" s="966"/>
      <c r="FY1" s="966"/>
      <c r="FZ1" s="966"/>
      <c r="GA1" s="966"/>
      <c r="GB1" s="966"/>
      <c r="GC1" s="966"/>
      <c r="GD1" s="966"/>
      <c r="GE1" s="966"/>
      <c r="GF1" s="966"/>
      <c r="GG1" s="966"/>
      <c r="GH1" s="965"/>
      <c r="GI1" s="966"/>
      <c r="GJ1" s="966"/>
      <c r="GK1" s="966"/>
      <c r="GL1" s="966"/>
      <c r="GM1" s="966"/>
      <c r="GN1" s="966"/>
      <c r="GO1" s="966"/>
      <c r="GP1" s="966"/>
      <c r="GQ1" s="966"/>
      <c r="GR1" s="966"/>
      <c r="GS1" s="966"/>
      <c r="GT1" s="966"/>
      <c r="GU1" s="965"/>
      <c r="GV1" s="966"/>
      <c r="GW1" s="966"/>
      <c r="GX1" s="966"/>
      <c r="GY1" s="966"/>
      <c r="GZ1" s="966"/>
      <c r="HA1" s="966"/>
      <c r="HB1" s="966"/>
      <c r="HC1" s="966"/>
      <c r="HD1" s="966"/>
      <c r="HE1" s="966"/>
      <c r="HF1" s="966"/>
      <c r="HG1" s="966"/>
      <c r="HH1" s="965"/>
      <c r="HI1" s="966"/>
      <c r="HJ1" s="966"/>
      <c r="HK1" s="966"/>
      <c r="HL1" s="966"/>
      <c r="HM1" s="966"/>
      <c r="HN1" s="966"/>
      <c r="HO1" s="966"/>
      <c r="HP1" s="966"/>
      <c r="HQ1" s="966"/>
      <c r="HR1" s="966"/>
      <c r="HS1" s="966"/>
      <c r="HT1" s="966"/>
      <c r="HU1" s="965"/>
      <c r="HV1" s="966"/>
      <c r="HW1" s="966"/>
      <c r="HX1" s="966"/>
      <c r="HY1" s="966"/>
      <c r="HZ1" s="966"/>
      <c r="IA1" s="966"/>
      <c r="IB1" s="966"/>
      <c r="IC1" s="966"/>
      <c r="ID1" s="966"/>
      <c r="IE1" s="966"/>
      <c r="IF1" s="966"/>
      <c r="IG1" s="966"/>
      <c r="IH1" s="965"/>
      <c r="II1" s="966"/>
      <c r="IJ1" s="966"/>
      <c r="IK1" s="966"/>
      <c r="IL1" s="966"/>
      <c r="IM1" s="966"/>
      <c r="IN1" s="966"/>
      <c r="IO1" s="966"/>
      <c r="IP1" s="966"/>
      <c r="IQ1" s="966"/>
      <c r="IR1" s="966"/>
      <c r="IS1" s="966"/>
      <c r="IT1" s="966"/>
      <c r="IU1" s="965"/>
      <c r="IV1" s="966"/>
      <c r="IW1" s="966"/>
      <c r="IX1" s="966"/>
      <c r="IY1" s="966"/>
      <c r="IZ1" s="966"/>
      <c r="JA1" s="966"/>
      <c r="JB1" s="966"/>
      <c r="JC1" s="966"/>
      <c r="JD1" s="966"/>
      <c r="JE1" s="966"/>
      <c r="JF1" s="966"/>
      <c r="JG1" s="966"/>
      <c r="JH1" s="965"/>
      <c r="JI1" s="966"/>
      <c r="JJ1" s="966"/>
      <c r="JK1" s="966"/>
      <c r="JL1" s="966"/>
      <c r="JM1" s="966"/>
      <c r="JN1" s="966"/>
      <c r="JO1" s="966"/>
      <c r="JP1" s="966"/>
      <c r="JQ1" s="966"/>
      <c r="JR1" s="966"/>
      <c r="JS1" s="966"/>
      <c r="JT1" s="966"/>
      <c r="JU1" s="965"/>
      <c r="JV1" s="966"/>
      <c r="JW1" s="966"/>
      <c r="JX1" s="966"/>
      <c r="JY1" s="966"/>
      <c r="JZ1" s="966"/>
      <c r="KA1" s="966"/>
      <c r="KB1" s="966"/>
      <c r="KC1" s="966"/>
      <c r="KD1" s="966"/>
      <c r="KE1" s="966"/>
      <c r="KF1" s="966"/>
      <c r="KG1" s="966"/>
      <c r="KH1" s="965"/>
      <c r="KI1" s="966"/>
      <c r="KJ1" s="966"/>
      <c r="KK1" s="966"/>
      <c r="KL1" s="966"/>
      <c r="KM1" s="966"/>
      <c r="KN1" s="966"/>
      <c r="KO1" s="966"/>
      <c r="KP1" s="966"/>
      <c r="KQ1" s="966"/>
      <c r="KR1" s="966"/>
      <c r="KS1" s="966"/>
      <c r="KT1" s="966"/>
      <c r="KU1" s="965"/>
      <c r="KV1" s="966"/>
      <c r="KW1" s="966"/>
      <c r="KX1" s="966"/>
      <c r="KY1" s="966"/>
      <c r="KZ1" s="966"/>
      <c r="LA1" s="966"/>
      <c r="LB1" s="966"/>
      <c r="LC1" s="966"/>
      <c r="LD1" s="966"/>
      <c r="LE1" s="966"/>
      <c r="LF1" s="966"/>
      <c r="LG1" s="966"/>
      <c r="LH1" s="965"/>
      <c r="LI1" s="966"/>
      <c r="LJ1" s="966"/>
      <c r="LK1" s="966"/>
      <c r="LL1" s="966"/>
      <c r="LM1" s="966"/>
      <c r="LN1" s="966"/>
      <c r="LO1" s="966"/>
      <c r="LP1" s="966"/>
      <c r="LQ1" s="966"/>
      <c r="LR1" s="966"/>
      <c r="LS1" s="966"/>
      <c r="LT1" s="966"/>
      <c r="LU1" s="965"/>
      <c r="LV1" s="966"/>
      <c r="LW1" s="966"/>
      <c r="LX1" s="966"/>
      <c r="LY1" s="966"/>
      <c r="LZ1" s="966"/>
      <c r="MA1" s="966"/>
      <c r="MB1" s="966"/>
      <c r="MC1" s="966"/>
      <c r="MD1" s="966"/>
      <c r="ME1" s="966"/>
      <c r="MF1" s="966"/>
      <c r="MG1" s="966"/>
    </row>
    <row r="2" spans="1:345" ht="18.75" customHeight="1">
      <c r="A2" s="194"/>
      <c r="B2" s="194"/>
      <c r="C2" s="50"/>
      <c r="D2" s="50"/>
      <c r="E2" s="50"/>
      <c r="I2" s="863">
        <f>O132</f>
        <v>0</v>
      </c>
      <c r="J2" s="863"/>
      <c r="K2" s="863"/>
      <c r="L2" s="863"/>
      <c r="M2" s="863"/>
      <c r="N2" s="863"/>
      <c r="O2" s="863"/>
      <c r="P2" s="863"/>
      <c r="Q2" s="863"/>
      <c r="R2" s="863"/>
      <c r="S2" s="863"/>
      <c r="T2" s="863"/>
      <c r="U2" s="965"/>
      <c r="V2" s="967"/>
      <c r="W2" s="967"/>
      <c r="X2" s="967"/>
      <c r="Y2" s="967"/>
      <c r="Z2" s="967"/>
      <c r="AA2" s="967"/>
      <c r="AB2" s="967"/>
      <c r="AC2" s="967"/>
      <c r="AD2" s="967"/>
      <c r="AE2" s="967"/>
      <c r="AF2" s="967"/>
      <c r="AG2" s="967"/>
      <c r="AH2" s="965"/>
      <c r="AI2" s="967"/>
      <c r="AJ2" s="967"/>
      <c r="AK2" s="967"/>
      <c r="AL2" s="967"/>
      <c r="AM2" s="967"/>
      <c r="AN2" s="967"/>
      <c r="AO2" s="967"/>
      <c r="AP2" s="967"/>
      <c r="AQ2" s="967"/>
      <c r="AR2" s="967"/>
      <c r="AS2" s="967"/>
      <c r="AT2" s="967"/>
      <c r="AU2" s="965"/>
      <c r="AV2" s="967"/>
      <c r="AW2" s="967"/>
      <c r="AX2" s="967"/>
      <c r="AY2" s="967"/>
      <c r="AZ2" s="967"/>
      <c r="BA2" s="967"/>
      <c r="BB2" s="967"/>
      <c r="BC2" s="967"/>
      <c r="BD2" s="967"/>
      <c r="BE2" s="967"/>
      <c r="BF2" s="967"/>
      <c r="BG2" s="967"/>
      <c r="BH2" s="965"/>
      <c r="BI2" s="967"/>
      <c r="BJ2" s="967"/>
      <c r="BK2" s="967"/>
      <c r="BL2" s="967"/>
      <c r="BM2" s="967"/>
      <c r="BN2" s="967"/>
      <c r="BO2" s="967"/>
      <c r="BP2" s="967"/>
      <c r="BQ2" s="967"/>
      <c r="BR2" s="967"/>
      <c r="BS2" s="967"/>
      <c r="BT2" s="967"/>
      <c r="BU2" s="965"/>
      <c r="BV2" s="967"/>
      <c r="BW2" s="967"/>
      <c r="BX2" s="967"/>
      <c r="BY2" s="967"/>
      <c r="BZ2" s="967"/>
      <c r="CA2" s="967"/>
      <c r="CB2" s="967"/>
      <c r="CC2" s="967"/>
      <c r="CD2" s="967"/>
      <c r="CE2" s="967"/>
      <c r="CF2" s="967"/>
      <c r="CG2" s="967"/>
      <c r="CH2" s="965"/>
      <c r="CI2" s="967"/>
      <c r="CJ2" s="967"/>
      <c r="CK2" s="967"/>
      <c r="CL2" s="967"/>
      <c r="CM2" s="967"/>
      <c r="CN2" s="967"/>
      <c r="CO2" s="967"/>
      <c r="CP2" s="967"/>
      <c r="CQ2" s="967"/>
      <c r="CR2" s="967"/>
      <c r="CS2" s="967"/>
      <c r="CT2" s="967"/>
      <c r="CU2" s="965"/>
      <c r="CV2" s="967"/>
      <c r="CW2" s="967"/>
      <c r="CX2" s="967"/>
      <c r="CY2" s="967"/>
      <c r="CZ2" s="967"/>
      <c r="DA2" s="967"/>
      <c r="DB2" s="967"/>
      <c r="DC2" s="967"/>
      <c r="DD2" s="967"/>
      <c r="DE2" s="967"/>
      <c r="DF2" s="967"/>
      <c r="DG2" s="967"/>
      <c r="DH2" s="965"/>
      <c r="DI2" s="967"/>
      <c r="DJ2" s="967"/>
      <c r="DK2" s="967"/>
      <c r="DL2" s="967"/>
      <c r="DM2" s="967"/>
      <c r="DN2" s="967"/>
      <c r="DO2" s="967"/>
      <c r="DP2" s="967"/>
      <c r="DQ2" s="967"/>
      <c r="DR2" s="967"/>
      <c r="DS2" s="967"/>
      <c r="DT2" s="967"/>
      <c r="DU2" s="965"/>
      <c r="DV2" s="967"/>
      <c r="DW2" s="967"/>
      <c r="DX2" s="967"/>
      <c r="DY2" s="967"/>
      <c r="DZ2" s="967"/>
      <c r="EA2" s="967"/>
      <c r="EB2" s="967"/>
      <c r="EC2" s="967"/>
      <c r="ED2" s="967"/>
      <c r="EE2" s="967"/>
      <c r="EF2" s="967"/>
      <c r="EG2" s="967"/>
      <c r="EH2" s="965"/>
      <c r="EI2" s="967"/>
      <c r="EJ2" s="967"/>
      <c r="EK2" s="967"/>
      <c r="EL2" s="967"/>
      <c r="EM2" s="967"/>
      <c r="EN2" s="967"/>
      <c r="EO2" s="967"/>
      <c r="EP2" s="967"/>
      <c r="EQ2" s="967"/>
      <c r="ER2" s="967"/>
      <c r="ES2" s="967"/>
      <c r="ET2" s="967"/>
      <c r="EU2" s="965"/>
      <c r="EV2" s="967"/>
      <c r="EW2" s="967"/>
      <c r="EX2" s="967"/>
      <c r="EY2" s="967"/>
      <c r="EZ2" s="967"/>
      <c r="FA2" s="967"/>
      <c r="FB2" s="967"/>
      <c r="FC2" s="967"/>
      <c r="FD2" s="967"/>
      <c r="FE2" s="967"/>
      <c r="FF2" s="967"/>
      <c r="FG2" s="967"/>
      <c r="FH2" s="965"/>
      <c r="FI2" s="967"/>
      <c r="FJ2" s="967"/>
      <c r="FK2" s="967"/>
      <c r="FL2" s="967"/>
      <c r="FM2" s="967"/>
      <c r="FN2" s="967"/>
      <c r="FO2" s="967"/>
      <c r="FP2" s="967"/>
      <c r="FQ2" s="967"/>
      <c r="FR2" s="967"/>
      <c r="FS2" s="967"/>
      <c r="FT2" s="967"/>
      <c r="FU2" s="965"/>
      <c r="FV2" s="967"/>
      <c r="FW2" s="967"/>
      <c r="FX2" s="967"/>
      <c r="FY2" s="967"/>
      <c r="FZ2" s="967"/>
      <c r="GA2" s="967"/>
      <c r="GB2" s="967"/>
      <c r="GC2" s="967"/>
      <c r="GD2" s="967"/>
      <c r="GE2" s="967"/>
      <c r="GF2" s="967"/>
      <c r="GG2" s="967"/>
      <c r="GH2" s="965"/>
      <c r="GI2" s="967"/>
      <c r="GJ2" s="967"/>
      <c r="GK2" s="967"/>
      <c r="GL2" s="967"/>
      <c r="GM2" s="967"/>
      <c r="GN2" s="967"/>
      <c r="GO2" s="967"/>
      <c r="GP2" s="967"/>
      <c r="GQ2" s="967"/>
      <c r="GR2" s="967"/>
      <c r="GS2" s="967"/>
      <c r="GT2" s="967"/>
      <c r="GU2" s="965"/>
      <c r="GV2" s="967"/>
      <c r="GW2" s="967"/>
      <c r="GX2" s="967"/>
      <c r="GY2" s="967"/>
      <c r="GZ2" s="967"/>
      <c r="HA2" s="967"/>
      <c r="HB2" s="967"/>
      <c r="HC2" s="967"/>
      <c r="HD2" s="967"/>
      <c r="HE2" s="967"/>
      <c r="HF2" s="967"/>
      <c r="HG2" s="967"/>
      <c r="HH2" s="965"/>
      <c r="HI2" s="967"/>
      <c r="HJ2" s="967"/>
      <c r="HK2" s="967"/>
      <c r="HL2" s="967"/>
      <c r="HM2" s="967"/>
      <c r="HN2" s="967"/>
      <c r="HO2" s="967"/>
      <c r="HP2" s="967"/>
      <c r="HQ2" s="967"/>
      <c r="HR2" s="967"/>
      <c r="HS2" s="967"/>
      <c r="HT2" s="967"/>
      <c r="HU2" s="965"/>
      <c r="HV2" s="967"/>
      <c r="HW2" s="967"/>
      <c r="HX2" s="967"/>
      <c r="HY2" s="967"/>
      <c r="HZ2" s="967"/>
      <c r="IA2" s="967"/>
      <c r="IB2" s="967"/>
      <c r="IC2" s="967"/>
      <c r="ID2" s="967"/>
      <c r="IE2" s="967"/>
      <c r="IF2" s="967"/>
      <c r="IG2" s="967"/>
      <c r="IH2" s="965"/>
      <c r="II2" s="967"/>
      <c r="IJ2" s="967"/>
      <c r="IK2" s="967"/>
      <c r="IL2" s="967"/>
      <c r="IM2" s="967"/>
      <c r="IN2" s="967"/>
      <c r="IO2" s="967"/>
      <c r="IP2" s="967"/>
      <c r="IQ2" s="967"/>
      <c r="IR2" s="967"/>
      <c r="IS2" s="967"/>
      <c r="IT2" s="967"/>
      <c r="IU2" s="965"/>
      <c r="IV2" s="967"/>
      <c r="IW2" s="967"/>
      <c r="IX2" s="967"/>
      <c r="IY2" s="967"/>
      <c r="IZ2" s="967"/>
      <c r="JA2" s="967"/>
      <c r="JB2" s="967"/>
      <c r="JC2" s="967"/>
      <c r="JD2" s="967"/>
      <c r="JE2" s="967"/>
      <c r="JF2" s="967"/>
      <c r="JG2" s="967"/>
      <c r="JH2" s="965"/>
      <c r="JI2" s="967"/>
      <c r="JJ2" s="967"/>
      <c r="JK2" s="967"/>
      <c r="JL2" s="967"/>
      <c r="JM2" s="967"/>
      <c r="JN2" s="967"/>
      <c r="JO2" s="967"/>
      <c r="JP2" s="967"/>
      <c r="JQ2" s="967"/>
      <c r="JR2" s="967"/>
      <c r="JS2" s="967"/>
      <c r="JT2" s="967"/>
      <c r="JU2" s="965"/>
      <c r="JV2" s="967"/>
      <c r="JW2" s="967"/>
      <c r="JX2" s="967"/>
      <c r="JY2" s="967"/>
      <c r="JZ2" s="967"/>
      <c r="KA2" s="967"/>
      <c r="KB2" s="967"/>
      <c r="KC2" s="967"/>
      <c r="KD2" s="967"/>
      <c r="KE2" s="967"/>
      <c r="KF2" s="967"/>
      <c r="KG2" s="967"/>
      <c r="KH2" s="965"/>
      <c r="KI2" s="967"/>
      <c r="KJ2" s="967"/>
      <c r="KK2" s="967"/>
      <c r="KL2" s="967"/>
      <c r="KM2" s="967"/>
      <c r="KN2" s="967"/>
      <c r="KO2" s="967"/>
      <c r="KP2" s="967"/>
      <c r="KQ2" s="967"/>
      <c r="KR2" s="967"/>
      <c r="KS2" s="967"/>
      <c r="KT2" s="967"/>
      <c r="KU2" s="965"/>
      <c r="KV2" s="967"/>
      <c r="KW2" s="967"/>
      <c r="KX2" s="967"/>
      <c r="KY2" s="967"/>
      <c r="KZ2" s="967"/>
      <c r="LA2" s="967"/>
      <c r="LB2" s="967"/>
      <c r="LC2" s="967"/>
      <c r="LD2" s="967"/>
      <c r="LE2" s="967"/>
      <c r="LF2" s="967"/>
      <c r="LG2" s="967"/>
      <c r="LH2" s="965"/>
      <c r="LI2" s="967"/>
      <c r="LJ2" s="967"/>
      <c r="LK2" s="967"/>
      <c r="LL2" s="967"/>
      <c r="LM2" s="967"/>
      <c r="LN2" s="967"/>
      <c r="LO2" s="967"/>
      <c r="LP2" s="967"/>
      <c r="LQ2" s="967"/>
      <c r="LR2" s="967"/>
      <c r="LS2" s="967"/>
      <c r="LT2" s="967"/>
      <c r="LU2" s="965"/>
      <c r="LV2" s="967"/>
      <c r="LW2" s="967"/>
      <c r="LX2" s="967"/>
      <c r="LY2" s="967"/>
      <c r="LZ2" s="967"/>
      <c r="MA2" s="967"/>
      <c r="MB2" s="967"/>
      <c r="MC2" s="967"/>
      <c r="MD2" s="967"/>
      <c r="ME2" s="967"/>
      <c r="MF2" s="967"/>
      <c r="MG2" s="967"/>
    </row>
    <row r="3" spans="1:345" ht="24.75" customHeight="1" thickBot="1">
      <c r="A3" s="194"/>
      <c r="B3" s="857" t="str">
        <f>Language!$E$205</f>
        <v>Juiste resultaten</v>
      </c>
      <c r="C3" s="858"/>
      <c r="D3" s="858"/>
      <c r="E3" s="858"/>
      <c r="F3" s="858"/>
      <c r="G3" s="859"/>
      <c r="I3" s="864" t="s">
        <v>801</v>
      </c>
      <c r="J3" s="865"/>
      <c r="K3" s="865"/>
      <c r="L3" s="865"/>
      <c r="M3" s="865"/>
      <c r="N3" s="865"/>
      <c r="O3" s="865"/>
      <c r="P3" s="865"/>
      <c r="Q3" s="865"/>
      <c r="R3" s="865"/>
      <c r="S3" s="865"/>
      <c r="T3" s="985"/>
      <c r="U3" s="965"/>
      <c r="V3" s="968"/>
      <c r="W3" s="968"/>
      <c r="X3" s="968"/>
      <c r="Y3" s="968"/>
      <c r="Z3" s="968"/>
      <c r="AA3" s="968"/>
      <c r="AB3" s="968"/>
      <c r="AC3" s="968"/>
      <c r="AD3" s="968"/>
      <c r="AE3" s="968"/>
      <c r="AF3" s="968"/>
      <c r="AG3" s="968"/>
      <c r="AH3" s="965"/>
      <c r="AI3" s="968"/>
      <c r="AJ3" s="968"/>
      <c r="AK3" s="968"/>
      <c r="AL3" s="968"/>
      <c r="AM3" s="968"/>
      <c r="AN3" s="968"/>
      <c r="AO3" s="968"/>
      <c r="AP3" s="968"/>
      <c r="AQ3" s="968"/>
      <c r="AR3" s="968"/>
      <c r="AS3" s="968"/>
      <c r="AT3" s="968"/>
      <c r="AU3" s="965"/>
      <c r="AV3" s="968"/>
      <c r="AW3" s="968"/>
      <c r="AX3" s="968"/>
      <c r="AY3" s="968"/>
      <c r="AZ3" s="968"/>
      <c r="BA3" s="968"/>
      <c r="BB3" s="968"/>
      <c r="BC3" s="968"/>
      <c r="BD3" s="968"/>
      <c r="BE3" s="968"/>
      <c r="BF3" s="968"/>
      <c r="BG3" s="968"/>
      <c r="BH3" s="965"/>
      <c r="BI3" s="968"/>
      <c r="BJ3" s="968"/>
      <c r="BK3" s="968"/>
      <c r="BL3" s="968"/>
      <c r="BM3" s="968"/>
      <c r="BN3" s="968"/>
      <c r="BO3" s="968"/>
      <c r="BP3" s="968"/>
      <c r="BQ3" s="968"/>
      <c r="BR3" s="968"/>
      <c r="BS3" s="968"/>
      <c r="BT3" s="968"/>
      <c r="BU3" s="965"/>
      <c r="BV3" s="968"/>
      <c r="BW3" s="968"/>
      <c r="BX3" s="968"/>
      <c r="BY3" s="968"/>
      <c r="BZ3" s="968"/>
      <c r="CA3" s="968"/>
      <c r="CB3" s="968"/>
      <c r="CC3" s="968"/>
      <c r="CD3" s="968"/>
      <c r="CE3" s="968"/>
      <c r="CF3" s="968"/>
      <c r="CG3" s="968"/>
      <c r="CH3" s="965"/>
      <c r="CI3" s="968"/>
      <c r="CJ3" s="968"/>
      <c r="CK3" s="968"/>
      <c r="CL3" s="968"/>
      <c r="CM3" s="968"/>
      <c r="CN3" s="968"/>
      <c r="CO3" s="968"/>
      <c r="CP3" s="968"/>
      <c r="CQ3" s="968"/>
      <c r="CR3" s="968"/>
      <c r="CS3" s="968"/>
      <c r="CT3" s="968"/>
      <c r="CU3" s="965"/>
      <c r="CV3" s="968"/>
      <c r="CW3" s="968"/>
      <c r="CX3" s="968"/>
      <c r="CY3" s="968"/>
      <c r="CZ3" s="968"/>
      <c r="DA3" s="968"/>
      <c r="DB3" s="968"/>
      <c r="DC3" s="968"/>
      <c r="DD3" s="968"/>
      <c r="DE3" s="968"/>
      <c r="DF3" s="968"/>
      <c r="DG3" s="968"/>
      <c r="DH3" s="965"/>
      <c r="DI3" s="968"/>
      <c r="DJ3" s="968"/>
      <c r="DK3" s="968"/>
      <c r="DL3" s="968"/>
      <c r="DM3" s="968"/>
      <c r="DN3" s="968"/>
      <c r="DO3" s="968"/>
      <c r="DP3" s="968"/>
      <c r="DQ3" s="968"/>
      <c r="DR3" s="968"/>
      <c r="DS3" s="968"/>
      <c r="DT3" s="968"/>
      <c r="DU3" s="965"/>
      <c r="DV3" s="968"/>
      <c r="DW3" s="968"/>
      <c r="DX3" s="968"/>
      <c r="DY3" s="968"/>
      <c r="DZ3" s="968"/>
      <c r="EA3" s="968"/>
      <c r="EB3" s="968"/>
      <c r="EC3" s="968"/>
      <c r="ED3" s="968"/>
      <c r="EE3" s="968"/>
      <c r="EF3" s="968"/>
      <c r="EG3" s="968"/>
      <c r="EH3" s="965"/>
      <c r="EI3" s="968"/>
      <c r="EJ3" s="968"/>
      <c r="EK3" s="968"/>
      <c r="EL3" s="968"/>
      <c r="EM3" s="968"/>
      <c r="EN3" s="968"/>
      <c r="EO3" s="968"/>
      <c r="EP3" s="968"/>
      <c r="EQ3" s="968"/>
      <c r="ER3" s="968"/>
      <c r="ES3" s="968"/>
      <c r="ET3" s="968"/>
      <c r="EU3" s="965"/>
      <c r="EV3" s="968"/>
      <c r="EW3" s="968"/>
      <c r="EX3" s="968"/>
      <c r="EY3" s="968"/>
      <c r="EZ3" s="968"/>
      <c r="FA3" s="968"/>
      <c r="FB3" s="968"/>
      <c r="FC3" s="968"/>
      <c r="FD3" s="968"/>
      <c r="FE3" s="968"/>
      <c r="FF3" s="968"/>
      <c r="FG3" s="968"/>
      <c r="FH3" s="965"/>
      <c r="FI3" s="968"/>
      <c r="FJ3" s="968"/>
      <c r="FK3" s="968"/>
      <c r="FL3" s="968"/>
      <c r="FM3" s="968"/>
      <c r="FN3" s="968"/>
      <c r="FO3" s="968"/>
      <c r="FP3" s="968"/>
      <c r="FQ3" s="968"/>
      <c r="FR3" s="968"/>
      <c r="FS3" s="968"/>
      <c r="FT3" s="968"/>
      <c r="FU3" s="965"/>
      <c r="FV3" s="968"/>
      <c r="FW3" s="968"/>
      <c r="FX3" s="968"/>
      <c r="FY3" s="968"/>
      <c r="FZ3" s="968"/>
      <c r="GA3" s="968"/>
      <c r="GB3" s="968"/>
      <c r="GC3" s="968"/>
      <c r="GD3" s="968"/>
      <c r="GE3" s="968"/>
      <c r="GF3" s="968"/>
      <c r="GG3" s="968"/>
      <c r="GH3" s="965"/>
      <c r="GI3" s="968"/>
      <c r="GJ3" s="968"/>
      <c r="GK3" s="968"/>
      <c r="GL3" s="968"/>
      <c r="GM3" s="968"/>
      <c r="GN3" s="968"/>
      <c r="GO3" s="968"/>
      <c r="GP3" s="968"/>
      <c r="GQ3" s="968"/>
      <c r="GR3" s="968"/>
      <c r="GS3" s="968"/>
      <c r="GT3" s="968"/>
      <c r="GU3" s="965"/>
      <c r="GV3" s="968"/>
      <c r="GW3" s="968"/>
      <c r="GX3" s="968"/>
      <c r="GY3" s="968"/>
      <c r="GZ3" s="968"/>
      <c r="HA3" s="968"/>
      <c r="HB3" s="968"/>
      <c r="HC3" s="968"/>
      <c r="HD3" s="968"/>
      <c r="HE3" s="968"/>
      <c r="HF3" s="968"/>
      <c r="HG3" s="968"/>
      <c r="HH3" s="965"/>
      <c r="HI3" s="968"/>
      <c r="HJ3" s="968"/>
      <c r="HK3" s="968"/>
      <c r="HL3" s="968"/>
      <c r="HM3" s="968"/>
      <c r="HN3" s="968"/>
      <c r="HO3" s="968"/>
      <c r="HP3" s="968"/>
      <c r="HQ3" s="968"/>
      <c r="HR3" s="968"/>
      <c r="HS3" s="968"/>
      <c r="HT3" s="968"/>
      <c r="HU3" s="965"/>
      <c r="HV3" s="968"/>
      <c r="HW3" s="968"/>
      <c r="HX3" s="968"/>
      <c r="HY3" s="968"/>
      <c r="HZ3" s="968"/>
      <c r="IA3" s="968"/>
      <c r="IB3" s="968"/>
      <c r="IC3" s="968"/>
      <c r="ID3" s="968"/>
      <c r="IE3" s="968"/>
      <c r="IF3" s="968"/>
      <c r="IG3" s="968"/>
      <c r="IH3" s="965"/>
      <c r="II3" s="968"/>
      <c r="IJ3" s="968"/>
      <c r="IK3" s="968"/>
      <c r="IL3" s="968"/>
      <c r="IM3" s="968"/>
      <c r="IN3" s="968"/>
      <c r="IO3" s="968"/>
      <c r="IP3" s="968"/>
      <c r="IQ3" s="968"/>
      <c r="IR3" s="968"/>
      <c r="IS3" s="968"/>
      <c r="IT3" s="968"/>
      <c r="IU3" s="965"/>
      <c r="IV3" s="968"/>
      <c r="IW3" s="968"/>
      <c r="IX3" s="968"/>
      <c r="IY3" s="968"/>
      <c r="IZ3" s="968"/>
      <c r="JA3" s="968"/>
      <c r="JB3" s="968"/>
      <c r="JC3" s="968"/>
      <c r="JD3" s="968"/>
      <c r="JE3" s="968"/>
      <c r="JF3" s="968"/>
      <c r="JG3" s="968"/>
      <c r="JH3" s="965"/>
      <c r="JI3" s="968"/>
      <c r="JJ3" s="968"/>
      <c r="JK3" s="968"/>
      <c r="JL3" s="968"/>
      <c r="JM3" s="968"/>
      <c r="JN3" s="968"/>
      <c r="JO3" s="968"/>
      <c r="JP3" s="968"/>
      <c r="JQ3" s="968"/>
      <c r="JR3" s="968"/>
      <c r="JS3" s="968"/>
      <c r="JT3" s="968"/>
      <c r="JU3" s="965"/>
      <c r="JV3" s="968"/>
      <c r="JW3" s="968"/>
      <c r="JX3" s="968"/>
      <c r="JY3" s="968"/>
      <c r="JZ3" s="968"/>
      <c r="KA3" s="968"/>
      <c r="KB3" s="968"/>
      <c r="KC3" s="968"/>
      <c r="KD3" s="968"/>
      <c r="KE3" s="968"/>
      <c r="KF3" s="968"/>
      <c r="KG3" s="968"/>
      <c r="KH3" s="965"/>
      <c r="KI3" s="968"/>
      <c r="KJ3" s="968"/>
      <c r="KK3" s="968"/>
      <c r="KL3" s="968"/>
      <c r="KM3" s="968"/>
      <c r="KN3" s="968"/>
      <c r="KO3" s="968"/>
      <c r="KP3" s="968"/>
      <c r="KQ3" s="968"/>
      <c r="KR3" s="968"/>
      <c r="KS3" s="968"/>
      <c r="KT3" s="968"/>
      <c r="KU3" s="965"/>
      <c r="KV3" s="968"/>
      <c r="KW3" s="968"/>
      <c r="KX3" s="968"/>
      <c r="KY3" s="968"/>
      <c r="KZ3" s="968"/>
      <c r="LA3" s="968"/>
      <c r="LB3" s="968"/>
      <c r="LC3" s="968"/>
      <c r="LD3" s="968"/>
      <c r="LE3" s="968"/>
      <c r="LF3" s="968"/>
      <c r="LG3" s="968"/>
      <c r="LH3" s="965"/>
      <c r="LI3" s="968"/>
      <c r="LJ3" s="968"/>
      <c r="LK3" s="968"/>
      <c r="LL3" s="968"/>
      <c r="LM3" s="968"/>
      <c r="LN3" s="968"/>
      <c r="LO3" s="968"/>
      <c r="LP3" s="968"/>
      <c r="LQ3" s="968"/>
      <c r="LR3" s="968"/>
      <c r="LS3" s="968"/>
      <c r="LT3" s="968"/>
      <c r="LU3" s="965"/>
      <c r="LV3" s="968"/>
      <c r="LW3" s="968"/>
      <c r="LX3" s="968"/>
      <c r="LY3" s="968"/>
      <c r="LZ3" s="968"/>
      <c r="MA3" s="968"/>
      <c r="MB3" s="968"/>
      <c r="MC3" s="968"/>
      <c r="MD3" s="968"/>
      <c r="ME3" s="968"/>
      <c r="MF3" s="968"/>
      <c r="MG3" s="968"/>
    </row>
    <row r="4" spans="1:345" ht="40.5" customHeight="1" thickTop="1">
      <c r="A4" s="194"/>
      <c r="B4" s="214"/>
      <c r="C4" s="215"/>
      <c r="D4" s="215"/>
      <c r="E4" s="216"/>
      <c r="F4" s="860" t="str">
        <f>Language!$E$206</f>
        <v>Resultaten</v>
      </c>
      <c r="G4" s="861"/>
      <c r="I4" s="222"/>
      <c r="J4" s="215"/>
      <c r="K4" s="215"/>
      <c r="L4" s="216"/>
      <c r="M4" s="856" t="str">
        <f>Language!$E$209</f>
        <v>Result.</v>
      </c>
      <c r="N4" s="856"/>
      <c r="O4" s="217" t="str">
        <f>Language!$E$219</f>
        <v>Finale</v>
      </c>
      <c r="P4" s="217" t="str">
        <f>Language!$E$210</f>
        <v>W/G/V</v>
      </c>
      <c r="Q4" s="217" t="str">
        <f>Language!$E$211</f>
        <v>DS</v>
      </c>
      <c r="R4" s="217" t="str">
        <f>Language!$E$212</f>
        <v>exact</v>
      </c>
      <c r="S4" s="217" t="str">
        <f>Language!$E$224</f>
        <v>grote aant.</v>
      </c>
      <c r="T4" s="986" t="str">
        <f>Language!$E$213</f>
        <v>teams</v>
      </c>
      <c r="U4" s="965"/>
      <c r="V4" s="966"/>
      <c r="W4" s="969"/>
      <c r="X4" s="969"/>
      <c r="Y4" s="969"/>
      <c r="Z4" s="970"/>
      <c r="AA4" s="970"/>
      <c r="AB4" s="971"/>
      <c r="AC4" s="971"/>
      <c r="AD4" s="971"/>
      <c r="AE4" s="971"/>
      <c r="AF4" s="971"/>
      <c r="AG4" s="971"/>
      <c r="AH4" s="965"/>
      <c r="AI4" s="966"/>
      <c r="AJ4" s="969"/>
      <c r="AK4" s="969"/>
      <c r="AL4" s="969"/>
      <c r="AM4" s="970"/>
      <c r="AN4" s="970"/>
      <c r="AO4" s="971"/>
      <c r="AP4" s="971"/>
      <c r="AQ4" s="971"/>
      <c r="AR4" s="971"/>
      <c r="AS4" s="971"/>
      <c r="AT4" s="971"/>
      <c r="AU4" s="965"/>
      <c r="AV4" s="966"/>
      <c r="AW4" s="969"/>
      <c r="AX4" s="969"/>
      <c r="AY4" s="969"/>
      <c r="AZ4" s="970"/>
      <c r="BA4" s="970"/>
      <c r="BB4" s="971"/>
      <c r="BC4" s="971"/>
      <c r="BD4" s="971"/>
      <c r="BE4" s="971"/>
      <c r="BF4" s="971"/>
      <c r="BG4" s="971"/>
      <c r="BH4" s="965"/>
      <c r="BI4" s="966"/>
      <c r="BJ4" s="969"/>
      <c r="BK4" s="969"/>
      <c r="BL4" s="969"/>
      <c r="BM4" s="970"/>
      <c r="BN4" s="970"/>
      <c r="BO4" s="971"/>
      <c r="BP4" s="971"/>
      <c r="BQ4" s="971"/>
      <c r="BR4" s="971"/>
      <c r="BS4" s="971"/>
      <c r="BT4" s="971"/>
      <c r="BU4" s="965"/>
      <c r="BV4" s="966"/>
      <c r="BW4" s="969"/>
      <c r="BX4" s="969"/>
      <c r="BY4" s="969"/>
      <c r="BZ4" s="970"/>
      <c r="CA4" s="970"/>
      <c r="CB4" s="971"/>
      <c r="CC4" s="971"/>
      <c r="CD4" s="971"/>
      <c r="CE4" s="971"/>
      <c r="CF4" s="971"/>
      <c r="CG4" s="971"/>
      <c r="CH4" s="965"/>
      <c r="CI4" s="966"/>
      <c r="CJ4" s="969"/>
      <c r="CK4" s="969"/>
      <c r="CL4" s="969"/>
      <c r="CM4" s="970"/>
      <c r="CN4" s="970"/>
      <c r="CO4" s="971"/>
      <c r="CP4" s="971"/>
      <c r="CQ4" s="971"/>
      <c r="CR4" s="971"/>
      <c r="CS4" s="971"/>
      <c r="CT4" s="971"/>
      <c r="CU4" s="965"/>
      <c r="CV4" s="966"/>
      <c r="CW4" s="969"/>
      <c r="CX4" s="969"/>
      <c r="CY4" s="969"/>
      <c r="CZ4" s="970"/>
      <c r="DA4" s="970"/>
      <c r="DB4" s="971"/>
      <c r="DC4" s="971"/>
      <c r="DD4" s="971"/>
      <c r="DE4" s="971"/>
      <c r="DF4" s="971"/>
      <c r="DG4" s="971"/>
      <c r="DH4" s="965"/>
      <c r="DI4" s="966"/>
      <c r="DJ4" s="969"/>
      <c r="DK4" s="969"/>
      <c r="DL4" s="969"/>
      <c r="DM4" s="970"/>
      <c r="DN4" s="970"/>
      <c r="DO4" s="971"/>
      <c r="DP4" s="971"/>
      <c r="DQ4" s="971"/>
      <c r="DR4" s="971"/>
      <c r="DS4" s="971"/>
      <c r="DT4" s="971"/>
      <c r="DU4" s="965"/>
      <c r="DV4" s="966"/>
      <c r="DW4" s="969"/>
      <c r="DX4" s="969"/>
      <c r="DY4" s="969"/>
      <c r="DZ4" s="970"/>
      <c r="EA4" s="970"/>
      <c r="EB4" s="971"/>
      <c r="EC4" s="971"/>
      <c r="ED4" s="971"/>
      <c r="EE4" s="971"/>
      <c r="EF4" s="971"/>
      <c r="EG4" s="971"/>
      <c r="EH4" s="965"/>
      <c r="EI4" s="966"/>
      <c r="EJ4" s="969"/>
      <c r="EK4" s="969"/>
      <c r="EL4" s="969"/>
      <c r="EM4" s="970"/>
      <c r="EN4" s="970"/>
      <c r="EO4" s="971"/>
      <c r="EP4" s="971"/>
      <c r="EQ4" s="971"/>
      <c r="ER4" s="971"/>
      <c r="ES4" s="971"/>
      <c r="ET4" s="971"/>
      <c r="EU4" s="965"/>
      <c r="EV4" s="966"/>
      <c r="EW4" s="969"/>
      <c r="EX4" s="969"/>
      <c r="EY4" s="969"/>
      <c r="EZ4" s="970"/>
      <c r="FA4" s="970"/>
      <c r="FB4" s="971"/>
      <c r="FC4" s="971"/>
      <c r="FD4" s="971"/>
      <c r="FE4" s="971"/>
      <c r="FF4" s="971"/>
      <c r="FG4" s="971"/>
      <c r="FH4" s="965"/>
      <c r="FI4" s="966"/>
      <c r="FJ4" s="969"/>
      <c r="FK4" s="969"/>
      <c r="FL4" s="969"/>
      <c r="FM4" s="970"/>
      <c r="FN4" s="970"/>
      <c r="FO4" s="971"/>
      <c r="FP4" s="971"/>
      <c r="FQ4" s="971"/>
      <c r="FR4" s="971"/>
      <c r="FS4" s="971"/>
      <c r="FT4" s="971"/>
      <c r="FU4" s="965"/>
      <c r="FV4" s="966"/>
      <c r="FW4" s="969"/>
      <c r="FX4" s="969"/>
      <c r="FY4" s="969"/>
      <c r="FZ4" s="970"/>
      <c r="GA4" s="970"/>
      <c r="GB4" s="971"/>
      <c r="GC4" s="971"/>
      <c r="GD4" s="971"/>
      <c r="GE4" s="971"/>
      <c r="GF4" s="971"/>
      <c r="GG4" s="971"/>
      <c r="GH4" s="965"/>
      <c r="GI4" s="966"/>
      <c r="GJ4" s="969"/>
      <c r="GK4" s="969"/>
      <c r="GL4" s="969"/>
      <c r="GM4" s="970"/>
      <c r="GN4" s="970"/>
      <c r="GO4" s="971"/>
      <c r="GP4" s="971"/>
      <c r="GQ4" s="971"/>
      <c r="GR4" s="971"/>
      <c r="GS4" s="971"/>
      <c r="GT4" s="971"/>
      <c r="GU4" s="965"/>
      <c r="GV4" s="966"/>
      <c r="GW4" s="969"/>
      <c r="GX4" s="969"/>
      <c r="GY4" s="969"/>
      <c r="GZ4" s="970"/>
      <c r="HA4" s="970"/>
      <c r="HB4" s="971"/>
      <c r="HC4" s="971"/>
      <c r="HD4" s="971"/>
      <c r="HE4" s="971"/>
      <c r="HF4" s="971"/>
      <c r="HG4" s="971"/>
      <c r="HH4" s="965"/>
      <c r="HI4" s="966"/>
      <c r="HJ4" s="969"/>
      <c r="HK4" s="969"/>
      <c r="HL4" s="969"/>
      <c r="HM4" s="970"/>
      <c r="HN4" s="970"/>
      <c r="HO4" s="971"/>
      <c r="HP4" s="971"/>
      <c r="HQ4" s="971"/>
      <c r="HR4" s="971"/>
      <c r="HS4" s="971"/>
      <c r="HT4" s="971"/>
      <c r="HU4" s="965"/>
      <c r="HV4" s="966"/>
      <c r="HW4" s="969"/>
      <c r="HX4" s="969"/>
      <c r="HY4" s="969"/>
      <c r="HZ4" s="970"/>
      <c r="IA4" s="970"/>
      <c r="IB4" s="971"/>
      <c r="IC4" s="971"/>
      <c r="ID4" s="971"/>
      <c r="IE4" s="971"/>
      <c r="IF4" s="971"/>
      <c r="IG4" s="971"/>
      <c r="IH4" s="965"/>
      <c r="II4" s="966"/>
      <c r="IJ4" s="969"/>
      <c r="IK4" s="969"/>
      <c r="IL4" s="969"/>
      <c r="IM4" s="970"/>
      <c r="IN4" s="970"/>
      <c r="IO4" s="971"/>
      <c r="IP4" s="971"/>
      <c r="IQ4" s="971"/>
      <c r="IR4" s="971"/>
      <c r="IS4" s="971"/>
      <c r="IT4" s="971"/>
      <c r="IU4" s="965"/>
      <c r="IV4" s="966"/>
      <c r="IW4" s="969"/>
      <c r="IX4" s="969"/>
      <c r="IY4" s="969"/>
      <c r="IZ4" s="970"/>
      <c r="JA4" s="970"/>
      <c r="JB4" s="971"/>
      <c r="JC4" s="971"/>
      <c r="JD4" s="971"/>
      <c r="JE4" s="971"/>
      <c r="JF4" s="971"/>
      <c r="JG4" s="971"/>
      <c r="JH4" s="965"/>
      <c r="JI4" s="966"/>
      <c r="JJ4" s="969"/>
      <c r="JK4" s="969"/>
      <c r="JL4" s="969"/>
      <c r="JM4" s="970"/>
      <c r="JN4" s="970"/>
      <c r="JO4" s="971"/>
      <c r="JP4" s="971"/>
      <c r="JQ4" s="971"/>
      <c r="JR4" s="971"/>
      <c r="JS4" s="971"/>
      <c r="JT4" s="971"/>
      <c r="JU4" s="965"/>
      <c r="JV4" s="966"/>
      <c r="JW4" s="969"/>
      <c r="JX4" s="969"/>
      <c r="JY4" s="969"/>
      <c r="JZ4" s="970"/>
      <c r="KA4" s="970"/>
      <c r="KB4" s="971"/>
      <c r="KC4" s="971"/>
      <c r="KD4" s="971"/>
      <c r="KE4" s="971"/>
      <c r="KF4" s="971"/>
      <c r="KG4" s="971"/>
      <c r="KH4" s="965"/>
      <c r="KI4" s="966"/>
      <c r="KJ4" s="969"/>
      <c r="KK4" s="969"/>
      <c r="KL4" s="969"/>
      <c r="KM4" s="970"/>
      <c r="KN4" s="970"/>
      <c r="KO4" s="971"/>
      <c r="KP4" s="971"/>
      <c r="KQ4" s="971"/>
      <c r="KR4" s="971"/>
      <c r="KS4" s="971"/>
      <c r="KT4" s="971"/>
      <c r="KU4" s="965"/>
      <c r="KV4" s="966"/>
      <c r="KW4" s="969"/>
      <c r="KX4" s="969"/>
      <c r="KY4" s="969"/>
      <c r="KZ4" s="970"/>
      <c r="LA4" s="970"/>
      <c r="LB4" s="971"/>
      <c r="LC4" s="971"/>
      <c r="LD4" s="971"/>
      <c r="LE4" s="971"/>
      <c r="LF4" s="971"/>
      <c r="LG4" s="971"/>
      <c r="LH4" s="965"/>
      <c r="LI4" s="966"/>
      <c r="LJ4" s="969"/>
      <c r="LK4" s="969"/>
      <c r="LL4" s="969"/>
      <c r="LM4" s="970"/>
      <c r="LN4" s="970"/>
      <c r="LO4" s="971"/>
      <c r="LP4" s="971"/>
      <c r="LQ4" s="971"/>
      <c r="LR4" s="971"/>
      <c r="LS4" s="971"/>
      <c r="LT4" s="971"/>
      <c r="LU4" s="965"/>
      <c r="LV4" s="966"/>
      <c r="LW4" s="969"/>
      <c r="LX4" s="969"/>
      <c r="LY4" s="969"/>
      <c r="LZ4" s="970"/>
      <c r="MA4" s="970"/>
      <c r="MB4" s="971"/>
      <c r="MC4" s="971"/>
      <c r="MD4" s="971"/>
      <c r="ME4" s="971"/>
      <c r="MF4" s="971"/>
      <c r="MG4" s="971"/>
    </row>
    <row r="5" spans="1:345" ht="24" customHeight="1">
      <c r="A5" s="195"/>
      <c r="B5" s="205" t="str">
        <f>Language!$E$130&amp;" A"</f>
        <v>Groep A</v>
      </c>
      <c r="C5" s="206"/>
      <c r="D5" s="207"/>
      <c r="E5" s="208"/>
      <c r="F5" s="209"/>
      <c r="G5" s="210"/>
      <c r="I5" s="205" t="str">
        <f t="shared" ref="I5:I33" si="0">$B5</f>
        <v>Groep A</v>
      </c>
      <c r="J5" s="207"/>
      <c r="K5" s="207"/>
      <c r="L5" s="208"/>
      <c r="M5" s="236"/>
      <c r="N5" s="237"/>
      <c r="O5" s="209"/>
      <c r="P5" s="220"/>
      <c r="Q5" s="208"/>
      <c r="R5" s="208"/>
      <c r="S5" s="208"/>
      <c r="T5" s="987"/>
      <c r="U5" s="965"/>
      <c r="V5" s="972"/>
      <c r="W5" s="972"/>
      <c r="X5" s="972"/>
      <c r="Y5" s="973"/>
      <c r="Z5" s="974"/>
      <c r="AA5" s="975"/>
      <c r="AB5" s="976"/>
      <c r="AC5" s="977"/>
      <c r="AD5" s="973"/>
      <c r="AE5" s="973"/>
      <c r="AF5" s="973"/>
      <c r="AG5" s="973"/>
      <c r="AH5" s="965"/>
      <c r="AI5" s="972"/>
      <c r="AJ5" s="972"/>
      <c r="AK5" s="972"/>
      <c r="AL5" s="973"/>
      <c r="AM5" s="974"/>
      <c r="AN5" s="975"/>
      <c r="AO5" s="976"/>
      <c r="AP5" s="977"/>
      <c r="AQ5" s="973"/>
      <c r="AR5" s="973"/>
      <c r="AS5" s="973"/>
      <c r="AT5" s="973"/>
      <c r="AU5" s="965"/>
      <c r="AV5" s="972"/>
      <c r="AW5" s="972"/>
      <c r="AX5" s="972"/>
      <c r="AY5" s="973"/>
      <c r="AZ5" s="974"/>
      <c r="BA5" s="975"/>
      <c r="BB5" s="976"/>
      <c r="BC5" s="977"/>
      <c r="BD5" s="973"/>
      <c r="BE5" s="973"/>
      <c r="BF5" s="973"/>
      <c r="BG5" s="973"/>
      <c r="BH5" s="965"/>
      <c r="BI5" s="972"/>
      <c r="BJ5" s="972"/>
      <c r="BK5" s="972"/>
      <c r="BL5" s="973"/>
      <c r="BM5" s="974"/>
      <c r="BN5" s="975"/>
      <c r="BO5" s="976"/>
      <c r="BP5" s="977"/>
      <c r="BQ5" s="973"/>
      <c r="BR5" s="973"/>
      <c r="BS5" s="973"/>
      <c r="BT5" s="973"/>
      <c r="BU5" s="965"/>
      <c r="BV5" s="972"/>
      <c r="BW5" s="972"/>
      <c r="BX5" s="972"/>
      <c r="BY5" s="973"/>
      <c r="BZ5" s="974"/>
      <c r="CA5" s="975"/>
      <c r="CB5" s="976"/>
      <c r="CC5" s="977"/>
      <c r="CD5" s="973"/>
      <c r="CE5" s="973"/>
      <c r="CF5" s="973"/>
      <c r="CG5" s="973"/>
      <c r="CH5" s="965"/>
      <c r="CI5" s="972"/>
      <c r="CJ5" s="972"/>
      <c r="CK5" s="972"/>
      <c r="CL5" s="973"/>
      <c r="CM5" s="974"/>
      <c r="CN5" s="975"/>
      <c r="CO5" s="976"/>
      <c r="CP5" s="977"/>
      <c r="CQ5" s="973"/>
      <c r="CR5" s="973"/>
      <c r="CS5" s="973"/>
      <c r="CT5" s="973"/>
      <c r="CU5" s="965"/>
      <c r="CV5" s="972"/>
      <c r="CW5" s="972"/>
      <c r="CX5" s="972"/>
      <c r="CY5" s="973"/>
      <c r="CZ5" s="974"/>
      <c r="DA5" s="975"/>
      <c r="DB5" s="976"/>
      <c r="DC5" s="977"/>
      <c r="DD5" s="973"/>
      <c r="DE5" s="973"/>
      <c r="DF5" s="973"/>
      <c r="DG5" s="973"/>
      <c r="DH5" s="965"/>
      <c r="DI5" s="972"/>
      <c r="DJ5" s="972"/>
      <c r="DK5" s="972"/>
      <c r="DL5" s="973"/>
      <c r="DM5" s="974"/>
      <c r="DN5" s="975"/>
      <c r="DO5" s="976"/>
      <c r="DP5" s="977"/>
      <c r="DQ5" s="973"/>
      <c r="DR5" s="973"/>
      <c r="DS5" s="973"/>
      <c r="DT5" s="973"/>
      <c r="DU5" s="965"/>
      <c r="DV5" s="972"/>
      <c r="DW5" s="972"/>
      <c r="DX5" s="972"/>
      <c r="DY5" s="973"/>
      <c r="DZ5" s="974"/>
      <c r="EA5" s="975"/>
      <c r="EB5" s="976"/>
      <c r="EC5" s="977"/>
      <c r="ED5" s="973"/>
      <c r="EE5" s="973"/>
      <c r="EF5" s="973"/>
      <c r="EG5" s="973"/>
      <c r="EH5" s="965"/>
      <c r="EI5" s="972"/>
      <c r="EJ5" s="972"/>
      <c r="EK5" s="972"/>
      <c r="EL5" s="973"/>
      <c r="EM5" s="974"/>
      <c r="EN5" s="975"/>
      <c r="EO5" s="976"/>
      <c r="EP5" s="977"/>
      <c r="EQ5" s="973"/>
      <c r="ER5" s="973"/>
      <c r="ES5" s="973"/>
      <c r="ET5" s="973"/>
      <c r="EU5" s="965"/>
      <c r="EV5" s="972"/>
      <c r="EW5" s="972"/>
      <c r="EX5" s="972"/>
      <c r="EY5" s="973"/>
      <c r="EZ5" s="974"/>
      <c r="FA5" s="975"/>
      <c r="FB5" s="976"/>
      <c r="FC5" s="977"/>
      <c r="FD5" s="973"/>
      <c r="FE5" s="973"/>
      <c r="FF5" s="973"/>
      <c r="FG5" s="973"/>
      <c r="FH5" s="965"/>
      <c r="FI5" s="972"/>
      <c r="FJ5" s="972"/>
      <c r="FK5" s="972"/>
      <c r="FL5" s="973"/>
      <c r="FM5" s="974"/>
      <c r="FN5" s="975"/>
      <c r="FO5" s="976"/>
      <c r="FP5" s="977"/>
      <c r="FQ5" s="973"/>
      <c r="FR5" s="973"/>
      <c r="FS5" s="973"/>
      <c r="FT5" s="973"/>
      <c r="FU5" s="965"/>
      <c r="FV5" s="972"/>
      <c r="FW5" s="972"/>
      <c r="FX5" s="972"/>
      <c r="FY5" s="973"/>
      <c r="FZ5" s="974"/>
      <c r="GA5" s="975"/>
      <c r="GB5" s="976"/>
      <c r="GC5" s="977"/>
      <c r="GD5" s="973"/>
      <c r="GE5" s="973"/>
      <c r="GF5" s="973"/>
      <c r="GG5" s="973"/>
      <c r="GH5" s="965"/>
      <c r="GI5" s="972"/>
      <c r="GJ5" s="972"/>
      <c r="GK5" s="972"/>
      <c r="GL5" s="973"/>
      <c r="GM5" s="974"/>
      <c r="GN5" s="975"/>
      <c r="GO5" s="976"/>
      <c r="GP5" s="977"/>
      <c r="GQ5" s="973"/>
      <c r="GR5" s="973"/>
      <c r="GS5" s="973"/>
      <c r="GT5" s="973"/>
      <c r="GU5" s="965"/>
      <c r="GV5" s="972"/>
      <c r="GW5" s="972"/>
      <c r="GX5" s="972"/>
      <c r="GY5" s="973"/>
      <c r="GZ5" s="974"/>
      <c r="HA5" s="975"/>
      <c r="HB5" s="976"/>
      <c r="HC5" s="977"/>
      <c r="HD5" s="973"/>
      <c r="HE5" s="973"/>
      <c r="HF5" s="973"/>
      <c r="HG5" s="973"/>
      <c r="HH5" s="965"/>
      <c r="HI5" s="972"/>
      <c r="HJ5" s="972"/>
      <c r="HK5" s="972"/>
      <c r="HL5" s="973"/>
      <c r="HM5" s="974"/>
      <c r="HN5" s="975"/>
      <c r="HO5" s="976"/>
      <c r="HP5" s="977"/>
      <c r="HQ5" s="973"/>
      <c r="HR5" s="973"/>
      <c r="HS5" s="973"/>
      <c r="HT5" s="973"/>
      <c r="HU5" s="965"/>
      <c r="HV5" s="972"/>
      <c r="HW5" s="972"/>
      <c r="HX5" s="972"/>
      <c r="HY5" s="973"/>
      <c r="HZ5" s="974"/>
      <c r="IA5" s="975"/>
      <c r="IB5" s="976"/>
      <c r="IC5" s="977"/>
      <c r="ID5" s="973"/>
      <c r="IE5" s="973"/>
      <c r="IF5" s="973"/>
      <c r="IG5" s="973"/>
      <c r="IH5" s="965"/>
      <c r="II5" s="972"/>
      <c r="IJ5" s="972"/>
      <c r="IK5" s="972"/>
      <c r="IL5" s="973"/>
      <c r="IM5" s="974"/>
      <c r="IN5" s="975"/>
      <c r="IO5" s="976"/>
      <c r="IP5" s="977"/>
      <c r="IQ5" s="973"/>
      <c r="IR5" s="973"/>
      <c r="IS5" s="973"/>
      <c r="IT5" s="973"/>
      <c r="IU5" s="965"/>
      <c r="IV5" s="972"/>
      <c r="IW5" s="972"/>
      <c r="IX5" s="972"/>
      <c r="IY5" s="973"/>
      <c r="IZ5" s="974"/>
      <c r="JA5" s="975"/>
      <c r="JB5" s="976"/>
      <c r="JC5" s="977"/>
      <c r="JD5" s="973"/>
      <c r="JE5" s="973"/>
      <c r="JF5" s="973"/>
      <c r="JG5" s="973"/>
      <c r="JH5" s="965"/>
      <c r="JI5" s="972"/>
      <c r="JJ5" s="972"/>
      <c r="JK5" s="972"/>
      <c r="JL5" s="973"/>
      <c r="JM5" s="974"/>
      <c r="JN5" s="975"/>
      <c r="JO5" s="976"/>
      <c r="JP5" s="977"/>
      <c r="JQ5" s="973"/>
      <c r="JR5" s="973"/>
      <c r="JS5" s="973"/>
      <c r="JT5" s="973"/>
      <c r="JU5" s="965"/>
      <c r="JV5" s="972"/>
      <c r="JW5" s="972"/>
      <c r="JX5" s="972"/>
      <c r="JY5" s="973"/>
      <c r="JZ5" s="974"/>
      <c r="KA5" s="975"/>
      <c r="KB5" s="976"/>
      <c r="KC5" s="977"/>
      <c r="KD5" s="973"/>
      <c r="KE5" s="973"/>
      <c r="KF5" s="973"/>
      <c r="KG5" s="973"/>
      <c r="KH5" s="965"/>
      <c r="KI5" s="972"/>
      <c r="KJ5" s="972"/>
      <c r="KK5" s="972"/>
      <c r="KL5" s="973"/>
      <c r="KM5" s="974"/>
      <c r="KN5" s="975"/>
      <c r="KO5" s="976"/>
      <c r="KP5" s="977"/>
      <c r="KQ5" s="973"/>
      <c r="KR5" s="973"/>
      <c r="KS5" s="973"/>
      <c r="KT5" s="973"/>
      <c r="KU5" s="965"/>
      <c r="KV5" s="972"/>
      <c r="KW5" s="972"/>
      <c r="KX5" s="972"/>
      <c r="KY5" s="973"/>
      <c r="KZ5" s="974"/>
      <c r="LA5" s="975"/>
      <c r="LB5" s="976"/>
      <c r="LC5" s="977"/>
      <c r="LD5" s="973"/>
      <c r="LE5" s="973"/>
      <c r="LF5" s="973"/>
      <c r="LG5" s="973"/>
      <c r="LH5" s="965"/>
      <c r="LI5" s="972"/>
      <c r="LJ5" s="972"/>
      <c r="LK5" s="972"/>
      <c r="LL5" s="973"/>
      <c r="LM5" s="974"/>
      <c r="LN5" s="975"/>
      <c r="LO5" s="976"/>
      <c r="LP5" s="977"/>
      <c r="LQ5" s="973"/>
      <c r="LR5" s="973"/>
      <c r="LS5" s="973"/>
      <c r="LT5" s="973"/>
      <c r="LU5" s="965"/>
      <c r="LV5" s="972"/>
      <c r="LW5" s="972"/>
      <c r="LX5" s="972"/>
      <c r="LY5" s="973"/>
      <c r="LZ5" s="974"/>
      <c r="MA5" s="975"/>
      <c r="MB5" s="976"/>
      <c r="MC5" s="977"/>
      <c r="MD5" s="973"/>
      <c r="ME5" s="973"/>
      <c r="MF5" s="973"/>
      <c r="MG5" s="973"/>
    </row>
    <row r="6" spans="1:345">
      <c r="B6" s="196">
        <f>INDEX(Groups!$C$7:$C$65,MATCH(C6,Groups!$D$7:$D$65,0))</f>
        <v>15</v>
      </c>
      <c r="C6" s="197" t="str">
        <f>CalcA!$P$22</f>
        <v>Mexico</v>
      </c>
      <c r="D6" s="198">
        <f>INDEX(Groups!$C$7:$C$65,MATCH(E6,Groups!$D$7:$D$65,0))</f>
        <v>60</v>
      </c>
      <c r="E6" s="197" t="str">
        <f>CalcA!$Q$22</f>
        <v>Zuid-Afrika</v>
      </c>
      <c r="F6" s="199" t="str">
        <f>CalcA!$R$22</f>
        <v/>
      </c>
      <c r="G6" s="200" t="str">
        <f>CalcA!$S$22</f>
        <v/>
      </c>
      <c r="I6" s="196">
        <f t="shared" si="0"/>
        <v>15</v>
      </c>
      <c r="J6" s="197" t="str">
        <f>$C6</f>
        <v>Mexico</v>
      </c>
      <c r="K6" s="198">
        <f t="shared" ref="K6:K69" si="1">$D6</f>
        <v>60</v>
      </c>
      <c r="L6" s="197" t="str">
        <f>$E6</f>
        <v>Zuid-Afrika</v>
      </c>
      <c r="M6" s="232"/>
      <c r="N6" s="232"/>
      <c r="O6" s="227"/>
      <c r="P6" s="198" t="str">
        <f t="shared" ref="P6:P11" si="2">IF(($F6&lt;&gt;"")*($G6&lt;&gt;"")*(M6&lt;&gt;"")*(N6&lt;&gt;""),($F6&gt;$G6)*(M6&gt;N6)+($F6=$G6)*(M6=N6)+($F6&lt;$G6)*(M6&lt;N6),"")</f>
        <v/>
      </c>
      <c r="Q6" s="198" t="str">
        <f>IF((P6&lt;&gt;""),IF(OR($F6&lt;&gt;$G6,PrSettings!$M$4="●"),(($F6-$G6)=(M6-N6))*1,0),"")</f>
        <v/>
      </c>
      <c r="R6" s="198" t="str">
        <f t="shared" ref="R6:R11" si="3">IF((P6&lt;&gt;""),($F6=M6)*($G6=N6),"")</f>
        <v/>
      </c>
      <c r="S6" s="198" t="str">
        <f>IF(P6&lt;&gt;"",IF(ABS($F6-$G6)&gt;=PrSettings!$M$7,(ABS($F6-$G6-M6+N6)&lt;=1)*1,IF(AND(P6,$F6=$G6,$F6&gt;=PrSettings!$M$6),(ABS(M6-$F6)&lt;=1)*1,IF(AND(P6,$F6+$G6&gt;=PrSettings!$M$8),(ABS(M6-$F6)+ABS(N6-$G6)&lt;=1)*1,""))),"")</f>
        <v/>
      </c>
      <c r="T6" s="988"/>
      <c r="U6" s="965"/>
      <c r="V6" s="966"/>
      <c r="W6" s="973"/>
      <c r="X6" s="966"/>
      <c r="Y6" s="973"/>
      <c r="Z6" s="978"/>
      <c r="AA6" s="978"/>
      <c r="AB6" s="966"/>
      <c r="AC6" s="966"/>
      <c r="AD6" s="966"/>
      <c r="AE6" s="966"/>
      <c r="AF6" s="966"/>
      <c r="AG6" s="966"/>
      <c r="AH6" s="965"/>
      <c r="AI6" s="966"/>
      <c r="AJ6" s="973"/>
      <c r="AK6" s="966"/>
      <c r="AL6" s="973"/>
      <c r="AM6" s="978"/>
      <c r="AN6" s="978"/>
      <c r="AO6" s="966"/>
      <c r="AP6" s="966"/>
      <c r="AQ6" s="966"/>
      <c r="AR6" s="966"/>
      <c r="AS6" s="966"/>
      <c r="AT6" s="966"/>
      <c r="AU6" s="965"/>
      <c r="AV6" s="966"/>
      <c r="AW6" s="973"/>
      <c r="AX6" s="966"/>
      <c r="AY6" s="973"/>
      <c r="AZ6" s="978"/>
      <c r="BA6" s="978"/>
      <c r="BB6" s="966"/>
      <c r="BC6" s="966"/>
      <c r="BD6" s="966"/>
      <c r="BE6" s="966"/>
      <c r="BF6" s="966"/>
      <c r="BG6" s="966"/>
      <c r="BH6" s="965"/>
      <c r="BI6" s="966"/>
      <c r="BJ6" s="973"/>
      <c r="BK6" s="966"/>
      <c r="BL6" s="973"/>
      <c r="BM6" s="978"/>
      <c r="BN6" s="978"/>
      <c r="BO6" s="966"/>
      <c r="BP6" s="966"/>
      <c r="BQ6" s="966"/>
      <c r="BR6" s="966"/>
      <c r="BS6" s="966"/>
      <c r="BT6" s="966"/>
      <c r="BU6" s="965"/>
      <c r="BV6" s="966"/>
      <c r="BW6" s="973"/>
      <c r="BX6" s="966"/>
      <c r="BY6" s="973"/>
      <c r="BZ6" s="978"/>
      <c r="CA6" s="978"/>
      <c r="CB6" s="966"/>
      <c r="CC6" s="966"/>
      <c r="CD6" s="966"/>
      <c r="CE6" s="966"/>
      <c r="CF6" s="966"/>
      <c r="CG6" s="966"/>
      <c r="CH6" s="965"/>
      <c r="CI6" s="966"/>
      <c r="CJ6" s="973"/>
      <c r="CK6" s="966"/>
      <c r="CL6" s="973"/>
      <c r="CM6" s="978"/>
      <c r="CN6" s="978"/>
      <c r="CO6" s="966"/>
      <c r="CP6" s="966"/>
      <c r="CQ6" s="966"/>
      <c r="CR6" s="966"/>
      <c r="CS6" s="966"/>
      <c r="CT6" s="966"/>
      <c r="CU6" s="965"/>
      <c r="CV6" s="966"/>
      <c r="CW6" s="973"/>
      <c r="CX6" s="966"/>
      <c r="CY6" s="973"/>
      <c r="CZ6" s="978"/>
      <c r="DA6" s="978"/>
      <c r="DB6" s="966"/>
      <c r="DC6" s="966"/>
      <c r="DD6" s="966"/>
      <c r="DE6" s="966"/>
      <c r="DF6" s="966"/>
      <c r="DG6" s="966"/>
      <c r="DH6" s="965"/>
      <c r="DI6" s="966"/>
      <c r="DJ6" s="973"/>
      <c r="DK6" s="966"/>
      <c r="DL6" s="973"/>
      <c r="DM6" s="978"/>
      <c r="DN6" s="978"/>
      <c r="DO6" s="966"/>
      <c r="DP6" s="966"/>
      <c r="DQ6" s="966"/>
      <c r="DR6" s="966"/>
      <c r="DS6" s="966"/>
      <c r="DT6" s="966"/>
      <c r="DU6" s="965"/>
      <c r="DV6" s="966"/>
      <c r="DW6" s="973"/>
      <c r="DX6" s="966"/>
      <c r="DY6" s="973"/>
      <c r="DZ6" s="978"/>
      <c r="EA6" s="978"/>
      <c r="EB6" s="966"/>
      <c r="EC6" s="966"/>
      <c r="ED6" s="966"/>
      <c r="EE6" s="966"/>
      <c r="EF6" s="966"/>
      <c r="EG6" s="966"/>
      <c r="EH6" s="965"/>
      <c r="EI6" s="966"/>
      <c r="EJ6" s="973"/>
      <c r="EK6" s="966"/>
      <c r="EL6" s="973"/>
      <c r="EM6" s="978"/>
      <c r="EN6" s="978"/>
      <c r="EO6" s="966"/>
      <c r="EP6" s="966"/>
      <c r="EQ6" s="966"/>
      <c r="ER6" s="966"/>
      <c r="ES6" s="966"/>
      <c r="ET6" s="966"/>
      <c r="EU6" s="965"/>
      <c r="EV6" s="966"/>
      <c r="EW6" s="973"/>
      <c r="EX6" s="966"/>
      <c r="EY6" s="973"/>
      <c r="EZ6" s="978"/>
      <c r="FA6" s="978"/>
      <c r="FB6" s="966"/>
      <c r="FC6" s="966"/>
      <c r="FD6" s="966"/>
      <c r="FE6" s="966"/>
      <c r="FF6" s="966"/>
      <c r="FG6" s="966"/>
      <c r="FH6" s="965"/>
      <c r="FI6" s="966"/>
      <c r="FJ6" s="973"/>
      <c r="FK6" s="966"/>
      <c r="FL6" s="973"/>
      <c r="FM6" s="978"/>
      <c r="FN6" s="978"/>
      <c r="FO6" s="966"/>
      <c r="FP6" s="966"/>
      <c r="FQ6" s="966"/>
      <c r="FR6" s="966"/>
      <c r="FS6" s="966"/>
      <c r="FT6" s="966"/>
      <c r="FU6" s="965"/>
      <c r="FV6" s="966"/>
      <c r="FW6" s="973"/>
      <c r="FX6" s="966"/>
      <c r="FY6" s="973"/>
      <c r="FZ6" s="978"/>
      <c r="GA6" s="978"/>
      <c r="GB6" s="966"/>
      <c r="GC6" s="966"/>
      <c r="GD6" s="966"/>
      <c r="GE6" s="966"/>
      <c r="GF6" s="966"/>
      <c r="GG6" s="966"/>
      <c r="GH6" s="965"/>
      <c r="GI6" s="966"/>
      <c r="GJ6" s="973"/>
      <c r="GK6" s="966"/>
      <c r="GL6" s="973"/>
      <c r="GM6" s="978"/>
      <c r="GN6" s="978"/>
      <c r="GO6" s="966"/>
      <c r="GP6" s="966"/>
      <c r="GQ6" s="966"/>
      <c r="GR6" s="966"/>
      <c r="GS6" s="966"/>
      <c r="GT6" s="966"/>
      <c r="GU6" s="965"/>
      <c r="GV6" s="966"/>
      <c r="GW6" s="973"/>
      <c r="GX6" s="966"/>
      <c r="GY6" s="973"/>
      <c r="GZ6" s="978"/>
      <c r="HA6" s="978"/>
      <c r="HB6" s="966"/>
      <c r="HC6" s="966"/>
      <c r="HD6" s="966"/>
      <c r="HE6" s="966"/>
      <c r="HF6" s="966"/>
      <c r="HG6" s="966"/>
      <c r="HH6" s="965"/>
      <c r="HI6" s="966"/>
      <c r="HJ6" s="973"/>
      <c r="HK6" s="966"/>
      <c r="HL6" s="973"/>
      <c r="HM6" s="978"/>
      <c r="HN6" s="978"/>
      <c r="HO6" s="966"/>
      <c r="HP6" s="966"/>
      <c r="HQ6" s="966"/>
      <c r="HR6" s="966"/>
      <c r="HS6" s="966"/>
      <c r="HT6" s="966"/>
      <c r="HU6" s="965"/>
      <c r="HV6" s="966"/>
      <c r="HW6" s="973"/>
      <c r="HX6" s="966"/>
      <c r="HY6" s="973"/>
      <c r="HZ6" s="978"/>
      <c r="IA6" s="978"/>
      <c r="IB6" s="966"/>
      <c r="IC6" s="966"/>
      <c r="ID6" s="966"/>
      <c r="IE6" s="966"/>
      <c r="IF6" s="966"/>
      <c r="IG6" s="966"/>
      <c r="IH6" s="965"/>
      <c r="II6" s="966"/>
      <c r="IJ6" s="973"/>
      <c r="IK6" s="966"/>
      <c r="IL6" s="973"/>
      <c r="IM6" s="978"/>
      <c r="IN6" s="978"/>
      <c r="IO6" s="966"/>
      <c r="IP6" s="966"/>
      <c r="IQ6" s="966"/>
      <c r="IR6" s="966"/>
      <c r="IS6" s="966"/>
      <c r="IT6" s="966"/>
      <c r="IU6" s="965"/>
      <c r="IV6" s="966"/>
      <c r="IW6" s="973"/>
      <c r="IX6" s="966"/>
      <c r="IY6" s="973"/>
      <c r="IZ6" s="978"/>
      <c r="JA6" s="978"/>
      <c r="JB6" s="966"/>
      <c r="JC6" s="966"/>
      <c r="JD6" s="966"/>
      <c r="JE6" s="966"/>
      <c r="JF6" s="966"/>
      <c r="JG6" s="966"/>
      <c r="JH6" s="965"/>
      <c r="JI6" s="966"/>
      <c r="JJ6" s="973"/>
      <c r="JK6" s="966"/>
      <c r="JL6" s="973"/>
      <c r="JM6" s="978"/>
      <c r="JN6" s="978"/>
      <c r="JO6" s="966"/>
      <c r="JP6" s="966"/>
      <c r="JQ6" s="966"/>
      <c r="JR6" s="966"/>
      <c r="JS6" s="966"/>
      <c r="JT6" s="966"/>
      <c r="JU6" s="965"/>
      <c r="JV6" s="966"/>
      <c r="JW6" s="973"/>
      <c r="JX6" s="966"/>
      <c r="JY6" s="973"/>
      <c r="JZ6" s="978"/>
      <c r="KA6" s="978"/>
      <c r="KB6" s="966"/>
      <c r="KC6" s="966"/>
      <c r="KD6" s="966"/>
      <c r="KE6" s="966"/>
      <c r="KF6" s="966"/>
      <c r="KG6" s="966"/>
      <c r="KH6" s="965"/>
      <c r="KI6" s="966"/>
      <c r="KJ6" s="973"/>
      <c r="KK6" s="966"/>
      <c r="KL6" s="973"/>
      <c r="KM6" s="978"/>
      <c r="KN6" s="978"/>
      <c r="KO6" s="966"/>
      <c r="KP6" s="966"/>
      <c r="KQ6" s="966"/>
      <c r="KR6" s="966"/>
      <c r="KS6" s="966"/>
      <c r="KT6" s="966"/>
      <c r="KU6" s="965"/>
      <c r="KV6" s="966"/>
      <c r="KW6" s="973"/>
      <c r="KX6" s="966"/>
      <c r="KY6" s="973"/>
      <c r="KZ6" s="978"/>
      <c r="LA6" s="978"/>
      <c r="LB6" s="966"/>
      <c r="LC6" s="966"/>
      <c r="LD6" s="966"/>
      <c r="LE6" s="966"/>
      <c r="LF6" s="966"/>
      <c r="LG6" s="966"/>
      <c r="LH6" s="965"/>
      <c r="LI6" s="966"/>
      <c r="LJ6" s="973"/>
      <c r="LK6" s="966"/>
      <c r="LL6" s="973"/>
      <c r="LM6" s="978"/>
      <c r="LN6" s="978"/>
      <c r="LO6" s="966"/>
      <c r="LP6" s="966"/>
      <c r="LQ6" s="966"/>
      <c r="LR6" s="966"/>
      <c r="LS6" s="966"/>
      <c r="LT6" s="966"/>
      <c r="LU6" s="965"/>
      <c r="LV6" s="966"/>
      <c r="LW6" s="973"/>
      <c r="LX6" s="966"/>
      <c r="LY6" s="973"/>
      <c r="LZ6" s="978"/>
      <c r="MA6" s="978"/>
      <c r="MB6" s="966"/>
      <c r="MC6" s="966"/>
      <c r="MD6" s="966"/>
      <c r="ME6" s="966"/>
      <c r="MF6" s="966"/>
      <c r="MG6" s="966"/>
    </row>
    <row r="7" spans="1:345">
      <c r="B7" s="196">
        <f>INDEX(Groups!$C$7:$C$65,MATCH(C7,Groups!$D$7:$D$65,0))</f>
        <v>25</v>
      </c>
      <c r="C7" s="197" t="str">
        <f>CalcA!$P$23</f>
        <v>Rep. Korea</v>
      </c>
      <c r="D7" s="198">
        <f>INDEX(Groups!$C$7:$C$65,MATCH(E7,Groups!$D$7:$D$65,0))</f>
        <v>41</v>
      </c>
      <c r="E7" s="197" t="str">
        <f>CalcA!$Q$23</f>
        <v>Tsjechië</v>
      </c>
      <c r="F7" s="725" t="str">
        <f>CalcA!$R$23</f>
        <v/>
      </c>
      <c r="G7" s="200" t="str">
        <f>CalcA!$S$23</f>
        <v/>
      </c>
      <c r="I7" s="196">
        <f t="shared" si="0"/>
        <v>25</v>
      </c>
      <c r="J7" s="197" t="str">
        <f t="shared" ref="J7:J11" si="4">$C7</f>
        <v>Rep. Korea</v>
      </c>
      <c r="K7" s="198">
        <f t="shared" si="1"/>
        <v>41</v>
      </c>
      <c r="L7" s="197" t="str">
        <f t="shared" ref="L7:L11" si="5">$E7</f>
        <v>Tsjechië</v>
      </c>
      <c r="M7" s="232"/>
      <c r="N7" s="232"/>
      <c r="O7" s="228"/>
      <c r="P7" s="198" t="str">
        <f t="shared" si="2"/>
        <v/>
      </c>
      <c r="Q7" s="198" t="str">
        <f>IF((P7&lt;&gt;""),IF(OR($F7&lt;&gt;$G7,PrSettings!$M$4="●"),(($F7-$G7)=(M7-N7))*1,0),"")</f>
        <v/>
      </c>
      <c r="R7" s="198" t="str">
        <f t="shared" si="3"/>
        <v/>
      </c>
      <c r="S7" s="198" t="str">
        <f>IF(P7&lt;&gt;"",IF(ABS($F7-$G7)&gt;=PrSettings!$M$7,(ABS($F7-$G7-M7+N7)&lt;=1)*1,IF(AND(P7,$F7=$G7,$F7&gt;=PrSettings!$M$6),(ABS(M7-$F7)&lt;=1)*1,IF(AND(P7,$F7+$G7&gt;=PrSettings!$M$8),(ABS(M7-$F7)+ABS(N7-$G7)&lt;=1)*1,""))),"")</f>
        <v/>
      </c>
      <c r="T7" s="989"/>
      <c r="U7" s="965"/>
      <c r="V7" s="966"/>
      <c r="W7" s="973"/>
      <c r="X7" s="966"/>
      <c r="Y7" s="973"/>
      <c r="Z7" s="978"/>
      <c r="AA7" s="978"/>
      <c r="AB7" s="966"/>
      <c r="AC7" s="966"/>
      <c r="AD7" s="966"/>
      <c r="AE7" s="966"/>
      <c r="AF7" s="966"/>
      <c r="AG7" s="966"/>
      <c r="AH7" s="965"/>
      <c r="AI7" s="966"/>
      <c r="AJ7" s="973"/>
      <c r="AK7" s="966"/>
      <c r="AL7" s="973"/>
      <c r="AM7" s="978"/>
      <c r="AN7" s="978"/>
      <c r="AO7" s="966"/>
      <c r="AP7" s="966"/>
      <c r="AQ7" s="966"/>
      <c r="AR7" s="966"/>
      <c r="AS7" s="966"/>
      <c r="AT7" s="966"/>
      <c r="AU7" s="965"/>
      <c r="AV7" s="966"/>
      <c r="AW7" s="973"/>
      <c r="AX7" s="966"/>
      <c r="AY7" s="973"/>
      <c r="AZ7" s="978"/>
      <c r="BA7" s="978"/>
      <c r="BB7" s="966"/>
      <c r="BC7" s="966"/>
      <c r="BD7" s="966"/>
      <c r="BE7" s="966"/>
      <c r="BF7" s="966"/>
      <c r="BG7" s="966"/>
      <c r="BH7" s="965"/>
      <c r="BI7" s="966"/>
      <c r="BJ7" s="973"/>
      <c r="BK7" s="966"/>
      <c r="BL7" s="973"/>
      <c r="BM7" s="978"/>
      <c r="BN7" s="978"/>
      <c r="BO7" s="966"/>
      <c r="BP7" s="966"/>
      <c r="BQ7" s="966"/>
      <c r="BR7" s="966"/>
      <c r="BS7" s="966"/>
      <c r="BT7" s="966"/>
      <c r="BU7" s="965"/>
      <c r="BV7" s="966"/>
      <c r="BW7" s="973"/>
      <c r="BX7" s="966"/>
      <c r="BY7" s="973"/>
      <c r="BZ7" s="978"/>
      <c r="CA7" s="978"/>
      <c r="CB7" s="966"/>
      <c r="CC7" s="966"/>
      <c r="CD7" s="966"/>
      <c r="CE7" s="966"/>
      <c r="CF7" s="966"/>
      <c r="CG7" s="966"/>
      <c r="CH7" s="965"/>
      <c r="CI7" s="966"/>
      <c r="CJ7" s="973"/>
      <c r="CK7" s="966"/>
      <c r="CL7" s="973"/>
      <c r="CM7" s="978"/>
      <c r="CN7" s="978"/>
      <c r="CO7" s="966"/>
      <c r="CP7" s="966"/>
      <c r="CQ7" s="966"/>
      <c r="CR7" s="966"/>
      <c r="CS7" s="966"/>
      <c r="CT7" s="966"/>
      <c r="CU7" s="965"/>
      <c r="CV7" s="966"/>
      <c r="CW7" s="973"/>
      <c r="CX7" s="966"/>
      <c r="CY7" s="973"/>
      <c r="CZ7" s="978"/>
      <c r="DA7" s="978"/>
      <c r="DB7" s="966"/>
      <c r="DC7" s="966"/>
      <c r="DD7" s="966"/>
      <c r="DE7" s="966"/>
      <c r="DF7" s="966"/>
      <c r="DG7" s="966"/>
      <c r="DH7" s="965"/>
      <c r="DI7" s="966"/>
      <c r="DJ7" s="973"/>
      <c r="DK7" s="966"/>
      <c r="DL7" s="973"/>
      <c r="DM7" s="978"/>
      <c r="DN7" s="978"/>
      <c r="DO7" s="966"/>
      <c r="DP7" s="966"/>
      <c r="DQ7" s="966"/>
      <c r="DR7" s="966"/>
      <c r="DS7" s="966"/>
      <c r="DT7" s="966"/>
      <c r="DU7" s="965"/>
      <c r="DV7" s="966"/>
      <c r="DW7" s="973"/>
      <c r="DX7" s="966"/>
      <c r="DY7" s="973"/>
      <c r="DZ7" s="978"/>
      <c r="EA7" s="978"/>
      <c r="EB7" s="966"/>
      <c r="EC7" s="966"/>
      <c r="ED7" s="966"/>
      <c r="EE7" s="966"/>
      <c r="EF7" s="966"/>
      <c r="EG7" s="966"/>
      <c r="EH7" s="965"/>
      <c r="EI7" s="966"/>
      <c r="EJ7" s="973"/>
      <c r="EK7" s="966"/>
      <c r="EL7" s="973"/>
      <c r="EM7" s="978"/>
      <c r="EN7" s="978"/>
      <c r="EO7" s="966"/>
      <c r="EP7" s="966"/>
      <c r="EQ7" s="966"/>
      <c r="ER7" s="966"/>
      <c r="ES7" s="966"/>
      <c r="ET7" s="966"/>
      <c r="EU7" s="965"/>
      <c r="EV7" s="966"/>
      <c r="EW7" s="973"/>
      <c r="EX7" s="966"/>
      <c r="EY7" s="973"/>
      <c r="EZ7" s="978"/>
      <c r="FA7" s="978"/>
      <c r="FB7" s="966"/>
      <c r="FC7" s="966"/>
      <c r="FD7" s="966"/>
      <c r="FE7" s="966"/>
      <c r="FF7" s="966"/>
      <c r="FG7" s="966"/>
      <c r="FH7" s="965"/>
      <c r="FI7" s="966"/>
      <c r="FJ7" s="973"/>
      <c r="FK7" s="966"/>
      <c r="FL7" s="973"/>
      <c r="FM7" s="978"/>
      <c r="FN7" s="978"/>
      <c r="FO7" s="966"/>
      <c r="FP7" s="966"/>
      <c r="FQ7" s="966"/>
      <c r="FR7" s="966"/>
      <c r="FS7" s="966"/>
      <c r="FT7" s="966"/>
      <c r="FU7" s="965"/>
      <c r="FV7" s="966"/>
      <c r="FW7" s="973"/>
      <c r="FX7" s="966"/>
      <c r="FY7" s="973"/>
      <c r="FZ7" s="978"/>
      <c r="GA7" s="978"/>
      <c r="GB7" s="966"/>
      <c r="GC7" s="966"/>
      <c r="GD7" s="966"/>
      <c r="GE7" s="966"/>
      <c r="GF7" s="966"/>
      <c r="GG7" s="966"/>
      <c r="GH7" s="965"/>
      <c r="GI7" s="966"/>
      <c r="GJ7" s="973"/>
      <c r="GK7" s="966"/>
      <c r="GL7" s="973"/>
      <c r="GM7" s="978"/>
      <c r="GN7" s="978"/>
      <c r="GO7" s="966"/>
      <c r="GP7" s="966"/>
      <c r="GQ7" s="966"/>
      <c r="GR7" s="966"/>
      <c r="GS7" s="966"/>
      <c r="GT7" s="966"/>
      <c r="GU7" s="965"/>
      <c r="GV7" s="966"/>
      <c r="GW7" s="973"/>
      <c r="GX7" s="966"/>
      <c r="GY7" s="973"/>
      <c r="GZ7" s="978"/>
      <c r="HA7" s="978"/>
      <c r="HB7" s="966"/>
      <c r="HC7" s="966"/>
      <c r="HD7" s="966"/>
      <c r="HE7" s="966"/>
      <c r="HF7" s="966"/>
      <c r="HG7" s="966"/>
      <c r="HH7" s="965"/>
      <c r="HI7" s="966"/>
      <c r="HJ7" s="973"/>
      <c r="HK7" s="966"/>
      <c r="HL7" s="973"/>
      <c r="HM7" s="978"/>
      <c r="HN7" s="978"/>
      <c r="HO7" s="966"/>
      <c r="HP7" s="966"/>
      <c r="HQ7" s="966"/>
      <c r="HR7" s="966"/>
      <c r="HS7" s="966"/>
      <c r="HT7" s="966"/>
      <c r="HU7" s="965"/>
      <c r="HV7" s="966"/>
      <c r="HW7" s="973"/>
      <c r="HX7" s="966"/>
      <c r="HY7" s="973"/>
      <c r="HZ7" s="978"/>
      <c r="IA7" s="978"/>
      <c r="IB7" s="966"/>
      <c r="IC7" s="966"/>
      <c r="ID7" s="966"/>
      <c r="IE7" s="966"/>
      <c r="IF7" s="966"/>
      <c r="IG7" s="966"/>
      <c r="IH7" s="965"/>
      <c r="II7" s="966"/>
      <c r="IJ7" s="973"/>
      <c r="IK7" s="966"/>
      <c r="IL7" s="973"/>
      <c r="IM7" s="978"/>
      <c r="IN7" s="978"/>
      <c r="IO7" s="966"/>
      <c r="IP7" s="966"/>
      <c r="IQ7" s="966"/>
      <c r="IR7" s="966"/>
      <c r="IS7" s="966"/>
      <c r="IT7" s="966"/>
      <c r="IU7" s="965"/>
      <c r="IV7" s="966"/>
      <c r="IW7" s="973"/>
      <c r="IX7" s="966"/>
      <c r="IY7" s="973"/>
      <c r="IZ7" s="978"/>
      <c r="JA7" s="978"/>
      <c r="JB7" s="966"/>
      <c r="JC7" s="966"/>
      <c r="JD7" s="966"/>
      <c r="JE7" s="966"/>
      <c r="JF7" s="966"/>
      <c r="JG7" s="966"/>
      <c r="JH7" s="965"/>
      <c r="JI7" s="966"/>
      <c r="JJ7" s="973"/>
      <c r="JK7" s="966"/>
      <c r="JL7" s="973"/>
      <c r="JM7" s="978"/>
      <c r="JN7" s="978"/>
      <c r="JO7" s="966"/>
      <c r="JP7" s="966"/>
      <c r="JQ7" s="966"/>
      <c r="JR7" s="966"/>
      <c r="JS7" s="966"/>
      <c r="JT7" s="966"/>
      <c r="JU7" s="965"/>
      <c r="JV7" s="966"/>
      <c r="JW7" s="973"/>
      <c r="JX7" s="966"/>
      <c r="JY7" s="973"/>
      <c r="JZ7" s="978"/>
      <c r="KA7" s="978"/>
      <c r="KB7" s="966"/>
      <c r="KC7" s="966"/>
      <c r="KD7" s="966"/>
      <c r="KE7" s="966"/>
      <c r="KF7" s="966"/>
      <c r="KG7" s="966"/>
      <c r="KH7" s="965"/>
      <c r="KI7" s="966"/>
      <c r="KJ7" s="973"/>
      <c r="KK7" s="966"/>
      <c r="KL7" s="973"/>
      <c r="KM7" s="978"/>
      <c r="KN7" s="978"/>
      <c r="KO7" s="966"/>
      <c r="KP7" s="966"/>
      <c r="KQ7" s="966"/>
      <c r="KR7" s="966"/>
      <c r="KS7" s="966"/>
      <c r="KT7" s="966"/>
      <c r="KU7" s="965"/>
      <c r="KV7" s="966"/>
      <c r="KW7" s="973"/>
      <c r="KX7" s="966"/>
      <c r="KY7" s="973"/>
      <c r="KZ7" s="978"/>
      <c r="LA7" s="978"/>
      <c r="LB7" s="966"/>
      <c r="LC7" s="966"/>
      <c r="LD7" s="966"/>
      <c r="LE7" s="966"/>
      <c r="LF7" s="966"/>
      <c r="LG7" s="966"/>
      <c r="LH7" s="965"/>
      <c r="LI7" s="966"/>
      <c r="LJ7" s="973"/>
      <c r="LK7" s="966"/>
      <c r="LL7" s="973"/>
      <c r="LM7" s="978"/>
      <c r="LN7" s="978"/>
      <c r="LO7" s="966"/>
      <c r="LP7" s="966"/>
      <c r="LQ7" s="966"/>
      <c r="LR7" s="966"/>
      <c r="LS7" s="966"/>
      <c r="LT7" s="966"/>
      <c r="LU7" s="965"/>
      <c r="LV7" s="966"/>
      <c r="LW7" s="973"/>
      <c r="LX7" s="966"/>
      <c r="LY7" s="973"/>
      <c r="LZ7" s="978"/>
      <c r="MA7" s="978"/>
      <c r="MB7" s="966"/>
      <c r="MC7" s="966"/>
      <c r="MD7" s="966"/>
      <c r="ME7" s="966"/>
      <c r="MF7" s="966"/>
      <c r="MG7" s="966"/>
    </row>
    <row r="8" spans="1:345">
      <c r="B8" s="196">
        <f>INDEX(Groups!$C$7:$C$65,MATCH(C8,Groups!$D$7:$D$65,0))</f>
        <v>41</v>
      </c>
      <c r="C8" s="197" t="str">
        <f>CalcA!$P$24</f>
        <v>Tsjechië</v>
      </c>
      <c r="D8" s="198">
        <f>INDEX(Groups!$C$7:$C$65,MATCH(E8,Groups!$D$7:$D$65,0))</f>
        <v>60</v>
      </c>
      <c r="E8" s="197" t="str">
        <f>CalcA!$Q$24</f>
        <v>Zuid-Afrika</v>
      </c>
      <c r="F8" s="199" t="str">
        <f>CalcA!$R$24</f>
        <v/>
      </c>
      <c r="G8" s="200" t="str">
        <f>CalcA!$S$24</f>
        <v/>
      </c>
      <c r="I8" s="196">
        <f t="shared" si="0"/>
        <v>41</v>
      </c>
      <c r="J8" s="197" t="str">
        <f t="shared" si="4"/>
        <v>Tsjechië</v>
      </c>
      <c r="K8" s="198">
        <f t="shared" si="1"/>
        <v>60</v>
      </c>
      <c r="L8" s="197" t="str">
        <f t="shared" si="5"/>
        <v>Zuid-Afrika</v>
      </c>
      <c r="M8" s="232"/>
      <c r="N8" s="232"/>
      <c r="O8" s="228"/>
      <c r="P8" s="198" t="str">
        <f t="shared" si="2"/>
        <v/>
      </c>
      <c r="Q8" s="198" t="str">
        <f>IF((P8&lt;&gt;""),IF(OR($F8&lt;&gt;$G8,PrSettings!$M$4="●"),(($F8-$G8)=(M8-N8))*1,0),"")</f>
        <v/>
      </c>
      <c r="R8" s="198" t="str">
        <f t="shared" si="3"/>
        <v/>
      </c>
      <c r="S8" s="198" t="str">
        <f>IF(P8&lt;&gt;"",IF(ABS($F8-$G8)&gt;=PrSettings!$M$7,(ABS($F8-$G8-M8+N8)&lt;=1)*1,IF(AND(P8,$F8=$G8,$F8&gt;=PrSettings!$M$6),(ABS(M8-$F8)&lt;=1)*1,IF(AND(P8,$F8+$G8&gt;=PrSettings!$M$8),(ABS(M8-$F8)+ABS(N8-$G8)&lt;=1)*1,""))),"")</f>
        <v/>
      </c>
      <c r="T8" s="989"/>
      <c r="U8" s="965"/>
      <c r="V8" s="966"/>
      <c r="W8" s="973"/>
      <c r="X8" s="966"/>
      <c r="Y8" s="973"/>
      <c r="Z8" s="978"/>
      <c r="AA8" s="978"/>
      <c r="AB8" s="966"/>
      <c r="AC8" s="966"/>
      <c r="AD8" s="966"/>
      <c r="AE8" s="966"/>
      <c r="AF8" s="966"/>
      <c r="AG8" s="966"/>
      <c r="AH8" s="965"/>
      <c r="AI8" s="966"/>
      <c r="AJ8" s="973"/>
      <c r="AK8" s="966"/>
      <c r="AL8" s="973"/>
      <c r="AM8" s="978"/>
      <c r="AN8" s="978"/>
      <c r="AO8" s="966"/>
      <c r="AP8" s="966"/>
      <c r="AQ8" s="966"/>
      <c r="AR8" s="966"/>
      <c r="AS8" s="966"/>
      <c r="AT8" s="966"/>
      <c r="AU8" s="965"/>
      <c r="AV8" s="966"/>
      <c r="AW8" s="973"/>
      <c r="AX8" s="966"/>
      <c r="AY8" s="973"/>
      <c r="AZ8" s="978"/>
      <c r="BA8" s="978"/>
      <c r="BB8" s="966"/>
      <c r="BC8" s="966"/>
      <c r="BD8" s="966"/>
      <c r="BE8" s="966"/>
      <c r="BF8" s="966"/>
      <c r="BG8" s="966"/>
      <c r="BH8" s="965"/>
      <c r="BI8" s="966"/>
      <c r="BJ8" s="973"/>
      <c r="BK8" s="966"/>
      <c r="BL8" s="973"/>
      <c r="BM8" s="978"/>
      <c r="BN8" s="978"/>
      <c r="BO8" s="966"/>
      <c r="BP8" s="966"/>
      <c r="BQ8" s="966"/>
      <c r="BR8" s="966"/>
      <c r="BS8" s="966"/>
      <c r="BT8" s="966"/>
      <c r="BU8" s="965"/>
      <c r="BV8" s="966"/>
      <c r="BW8" s="973"/>
      <c r="BX8" s="966"/>
      <c r="BY8" s="973"/>
      <c r="BZ8" s="978"/>
      <c r="CA8" s="978"/>
      <c r="CB8" s="966"/>
      <c r="CC8" s="966"/>
      <c r="CD8" s="966"/>
      <c r="CE8" s="966"/>
      <c r="CF8" s="966"/>
      <c r="CG8" s="966"/>
      <c r="CH8" s="965"/>
      <c r="CI8" s="966"/>
      <c r="CJ8" s="973"/>
      <c r="CK8" s="966"/>
      <c r="CL8" s="973"/>
      <c r="CM8" s="978"/>
      <c r="CN8" s="978"/>
      <c r="CO8" s="966"/>
      <c r="CP8" s="966"/>
      <c r="CQ8" s="966"/>
      <c r="CR8" s="966"/>
      <c r="CS8" s="966"/>
      <c r="CT8" s="966"/>
      <c r="CU8" s="965"/>
      <c r="CV8" s="966"/>
      <c r="CW8" s="973"/>
      <c r="CX8" s="966"/>
      <c r="CY8" s="973"/>
      <c r="CZ8" s="978"/>
      <c r="DA8" s="978"/>
      <c r="DB8" s="966"/>
      <c r="DC8" s="966"/>
      <c r="DD8" s="966"/>
      <c r="DE8" s="966"/>
      <c r="DF8" s="966"/>
      <c r="DG8" s="966"/>
      <c r="DH8" s="965"/>
      <c r="DI8" s="966"/>
      <c r="DJ8" s="973"/>
      <c r="DK8" s="966"/>
      <c r="DL8" s="973"/>
      <c r="DM8" s="978"/>
      <c r="DN8" s="978"/>
      <c r="DO8" s="966"/>
      <c r="DP8" s="966"/>
      <c r="DQ8" s="966"/>
      <c r="DR8" s="966"/>
      <c r="DS8" s="966"/>
      <c r="DT8" s="966"/>
      <c r="DU8" s="965"/>
      <c r="DV8" s="966"/>
      <c r="DW8" s="973"/>
      <c r="DX8" s="966"/>
      <c r="DY8" s="973"/>
      <c r="DZ8" s="978"/>
      <c r="EA8" s="978"/>
      <c r="EB8" s="966"/>
      <c r="EC8" s="966"/>
      <c r="ED8" s="966"/>
      <c r="EE8" s="966"/>
      <c r="EF8" s="966"/>
      <c r="EG8" s="966"/>
      <c r="EH8" s="965"/>
      <c r="EI8" s="966"/>
      <c r="EJ8" s="973"/>
      <c r="EK8" s="966"/>
      <c r="EL8" s="973"/>
      <c r="EM8" s="978"/>
      <c r="EN8" s="978"/>
      <c r="EO8" s="966"/>
      <c r="EP8" s="966"/>
      <c r="EQ8" s="966"/>
      <c r="ER8" s="966"/>
      <c r="ES8" s="966"/>
      <c r="ET8" s="966"/>
      <c r="EU8" s="965"/>
      <c r="EV8" s="966"/>
      <c r="EW8" s="973"/>
      <c r="EX8" s="966"/>
      <c r="EY8" s="973"/>
      <c r="EZ8" s="978"/>
      <c r="FA8" s="978"/>
      <c r="FB8" s="966"/>
      <c r="FC8" s="966"/>
      <c r="FD8" s="966"/>
      <c r="FE8" s="966"/>
      <c r="FF8" s="966"/>
      <c r="FG8" s="966"/>
      <c r="FH8" s="965"/>
      <c r="FI8" s="966"/>
      <c r="FJ8" s="973"/>
      <c r="FK8" s="966"/>
      <c r="FL8" s="973"/>
      <c r="FM8" s="978"/>
      <c r="FN8" s="978"/>
      <c r="FO8" s="966"/>
      <c r="FP8" s="966"/>
      <c r="FQ8" s="966"/>
      <c r="FR8" s="966"/>
      <c r="FS8" s="966"/>
      <c r="FT8" s="966"/>
      <c r="FU8" s="965"/>
      <c r="FV8" s="966"/>
      <c r="FW8" s="973"/>
      <c r="FX8" s="966"/>
      <c r="FY8" s="973"/>
      <c r="FZ8" s="978"/>
      <c r="GA8" s="978"/>
      <c r="GB8" s="966"/>
      <c r="GC8" s="966"/>
      <c r="GD8" s="966"/>
      <c r="GE8" s="966"/>
      <c r="GF8" s="966"/>
      <c r="GG8" s="966"/>
      <c r="GH8" s="965"/>
      <c r="GI8" s="966"/>
      <c r="GJ8" s="973"/>
      <c r="GK8" s="966"/>
      <c r="GL8" s="973"/>
      <c r="GM8" s="978"/>
      <c r="GN8" s="978"/>
      <c r="GO8" s="966"/>
      <c r="GP8" s="966"/>
      <c r="GQ8" s="966"/>
      <c r="GR8" s="966"/>
      <c r="GS8" s="966"/>
      <c r="GT8" s="966"/>
      <c r="GU8" s="965"/>
      <c r="GV8" s="966"/>
      <c r="GW8" s="973"/>
      <c r="GX8" s="966"/>
      <c r="GY8" s="973"/>
      <c r="GZ8" s="978"/>
      <c r="HA8" s="978"/>
      <c r="HB8" s="966"/>
      <c r="HC8" s="966"/>
      <c r="HD8" s="966"/>
      <c r="HE8" s="966"/>
      <c r="HF8" s="966"/>
      <c r="HG8" s="966"/>
      <c r="HH8" s="965"/>
      <c r="HI8" s="966"/>
      <c r="HJ8" s="973"/>
      <c r="HK8" s="966"/>
      <c r="HL8" s="973"/>
      <c r="HM8" s="978"/>
      <c r="HN8" s="978"/>
      <c r="HO8" s="966"/>
      <c r="HP8" s="966"/>
      <c r="HQ8" s="966"/>
      <c r="HR8" s="966"/>
      <c r="HS8" s="966"/>
      <c r="HT8" s="966"/>
      <c r="HU8" s="965"/>
      <c r="HV8" s="966"/>
      <c r="HW8" s="973"/>
      <c r="HX8" s="966"/>
      <c r="HY8" s="973"/>
      <c r="HZ8" s="978"/>
      <c r="IA8" s="978"/>
      <c r="IB8" s="966"/>
      <c r="IC8" s="966"/>
      <c r="ID8" s="966"/>
      <c r="IE8" s="966"/>
      <c r="IF8" s="966"/>
      <c r="IG8" s="966"/>
      <c r="IH8" s="965"/>
      <c r="II8" s="966"/>
      <c r="IJ8" s="973"/>
      <c r="IK8" s="966"/>
      <c r="IL8" s="973"/>
      <c r="IM8" s="978"/>
      <c r="IN8" s="978"/>
      <c r="IO8" s="966"/>
      <c r="IP8" s="966"/>
      <c r="IQ8" s="966"/>
      <c r="IR8" s="966"/>
      <c r="IS8" s="966"/>
      <c r="IT8" s="966"/>
      <c r="IU8" s="965"/>
      <c r="IV8" s="966"/>
      <c r="IW8" s="973"/>
      <c r="IX8" s="966"/>
      <c r="IY8" s="973"/>
      <c r="IZ8" s="978"/>
      <c r="JA8" s="978"/>
      <c r="JB8" s="966"/>
      <c r="JC8" s="966"/>
      <c r="JD8" s="966"/>
      <c r="JE8" s="966"/>
      <c r="JF8" s="966"/>
      <c r="JG8" s="966"/>
      <c r="JH8" s="965"/>
      <c r="JI8" s="966"/>
      <c r="JJ8" s="973"/>
      <c r="JK8" s="966"/>
      <c r="JL8" s="973"/>
      <c r="JM8" s="978"/>
      <c r="JN8" s="978"/>
      <c r="JO8" s="966"/>
      <c r="JP8" s="966"/>
      <c r="JQ8" s="966"/>
      <c r="JR8" s="966"/>
      <c r="JS8" s="966"/>
      <c r="JT8" s="966"/>
      <c r="JU8" s="965"/>
      <c r="JV8" s="966"/>
      <c r="JW8" s="973"/>
      <c r="JX8" s="966"/>
      <c r="JY8" s="973"/>
      <c r="JZ8" s="978"/>
      <c r="KA8" s="978"/>
      <c r="KB8" s="966"/>
      <c r="KC8" s="966"/>
      <c r="KD8" s="966"/>
      <c r="KE8" s="966"/>
      <c r="KF8" s="966"/>
      <c r="KG8" s="966"/>
      <c r="KH8" s="965"/>
      <c r="KI8" s="966"/>
      <c r="KJ8" s="973"/>
      <c r="KK8" s="966"/>
      <c r="KL8" s="973"/>
      <c r="KM8" s="978"/>
      <c r="KN8" s="978"/>
      <c r="KO8" s="966"/>
      <c r="KP8" s="966"/>
      <c r="KQ8" s="966"/>
      <c r="KR8" s="966"/>
      <c r="KS8" s="966"/>
      <c r="KT8" s="966"/>
      <c r="KU8" s="965"/>
      <c r="KV8" s="966"/>
      <c r="KW8" s="973"/>
      <c r="KX8" s="966"/>
      <c r="KY8" s="973"/>
      <c r="KZ8" s="978"/>
      <c r="LA8" s="978"/>
      <c r="LB8" s="966"/>
      <c r="LC8" s="966"/>
      <c r="LD8" s="966"/>
      <c r="LE8" s="966"/>
      <c r="LF8" s="966"/>
      <c r="LG8" s="966"/>
      <c r="LH8" s="965"/>
      <c r="LI8" s="966"/>
      <c r="LJ8" s="973"/>
      <c r="LK8" s="966"/>
      <c r="LL8" s="973"/>
      <c r="LM8" s="978"/>
      <c r="LN8" s="978"/>
      <c r="LO8" s="966"/>
      <c r="LP8" s="966"/>
      <c r="LQ8" s="966"/>
      <c r="LR8" s="966"/>
      <c r="LS8" s="966"/>
      <c r="LT8" s="966"/>
      <c r="LU8" s="965"/>
      <c r="LV8" s="966"/>
      <c r="LW8" s="973"/>
      <c r="LX8" s="966"/>
      <c r="LY8" s="973"/>
      <c r="LZ8" s="978"/>
      <c r="MA8" s="978"/>
      <c r="MB8" s="966"/>
      <c r="MC8" s="966"/>
      <c r="MD8" s="966"/>
      <c r="ME8" s="966"/>
      <c r="MF8" s="966"/>
      <c r="MG8" s="966"/>
    </row>
    <row r="9" spans="1:345">
      <c r="B9" s="196">
        <f>INDEX(Groups!$C$7:$C$65,MATCH(C9,Groups!$D$7:$D$65,0))</f>
        <v>15</v>
      </c>
      <c r="C9" s="197" t="str">
        <f>CalcA!$P$25</f>
        <v>Mexico</v>
      </c>
      <c r="D9" s="198">
        <f>INDEX(Groups!$C$7:$C$65,MATCH(E9,Groups!$D$7:$D$65,0))</f>
        <v>25</v>
      </c>
      <c r="E9" s="197" t="str">
        <f>CalcA!$Q$25</f>
        <v>Rep. Korea</v>
      </c>
      <c r="F9" s="199" t="str">
        <f>CalcA!$R$25</f>
        <v/>
      </c>
      <c r="G9" s="200" t="str">
        <f>CalcA!$S$25</f>
        <v/>
      </c>
      <c r="I9" s="196">
        <f t="shared" si="0"/>
        <v>15</v>
      </c>
      <c r="J9" s="197" t="str">
        <f t="shared" si="4"/>
        <v>Mexico</v>
      </c>
      <c r="K9" s="198">
        <f t="shared" si="1"/>
        <v>25</v>
      </c>
      <c r="L9" s="197" t="str">
        <f t="shared" si="5"/>
        <v>Rep. Korea</v>
      </c>
      <c r="M9" s="232"/>
      <c r="N9" s="232"/>
      <c r="O9" s="228"/>
      <c r="P9" s="198" t="str">
        <f t="shared" si="2"/>
        <v/>
      </c>
      <c r="Q9" s="198" t="str">
        <f>IF((P9&lt;&gt;""),IF(OR($F9&lt;&gt;$G9,PrSettings!$M$4="●"),(($F9-$G9)=(M9-N9))*1,0),"")</f>
        <v/>
      </c>
      <c r="R9" s="198" t="str">
        <f t="shared" si="3"/>
        <v/>
      </c>
      <c r="S9" s="198" t="str">
        <f>IF(P9&lt;&gt;"",IF(ABS($F9-$G9)&gt;=PrSettings!$M$7,(ABS($F9-$G9-M9+N9)&lt;=1)*1,IF(AND(P9,$F9=$G9,$F9&gt;=PrSettings!$M$6),(ABS(M9-$F9)&lt;=1)*1,IF(AND(P9,$F9+$G9&gt;=PrSettings!$M$8),(ABS(M9-$F9)+ABS(N9-$G9)&lt;=1)*1,""))),"")</f>
        <v/>
      </c>
      <c r="T9" s="989"/>
      <c r="U9" s="965"/>
      <c r="V9" s="966"/>
      <c r="W9" s="973"/>
      <c r="X9" s="966"/>
      <c r="Y9" s="973"/>
      <c r="Z9" s="978"/>
      <c r="AA9" s="978"/>
      <c r="AB9" s="966"/>
      <c r="AC9" s="966"/>
      <c r="AD9" s="966"/>
      <c r="AE9" s="966"/>
      <c r="AF9" s="966"/>
      <c r="AG9" s="966"/>
      <c r="AH9" s="965"/>
      <c r="AI9" s="966"/>
      <c r="AJ9" s="973"/>
      <c r="AK9" s="966"/>
      <c r="AL9" s="973"/>
      <c r="AM9" s="978"/>
      <c r="AN9" s="978"/>
      <c r="AO9" s="966"/>
      <c r="AP9" s="966"/>
      <c r="AQ9" s="966"/>
      <c r="AR9" s="966"/>
      <c r="AS9" s="966"/>
      <c r="AT9" s="966"/>
      <c r="AU9" s="965"/>
      <c r="AV9" s="966"/>
      <c r="AW9" s="973"/>
      <c r="AX9" s="966"/>
      <c r="AY9" s="973"/>
      <c r="AZ9" s="978"/>
      <c r="BA9" s="978"/>
      <c r="BB9" s="966"/>
      <c r="BC9" s="966"/>
      <c r="BD9" s="966"/>
      <c r="BE9" s="966"/>
      <c r="BF9" s="966"/>
      <c r="BG9" s="966"/>
      <c r="BH9" s="965"/>
      <c r="BI9" s="966"/>
      <c r="BJ9" s="973"/>
      <c r="BK9" s="966"/>
      <c r="BL9" s="973"/>
      <c r="BM9" s="978"/>
      <c r="BN9" s="978"/>
      <c r="BO9" s="966"/>
      <c r="BP9" s="966"/>
      <c r="BQ9" s="966"/>
      <c r="BR9" s="966"/>
      <c r="BS9" s="966"/>
      <c r="BT9" s="966"/>
      <c r="BU9" s="965"/>
      <c r="BV9" s="966"/>
      <c r="BW9" s="973"/>
      <c r="BX9" s="966"/>
      <c r="BY9" s="973"/>
      <c r="BZ9" s="978"/>
      <c r="CA9" s="978"/>
      <c r="CB9" s="966"/>
      <c r="CC9" s="966"/>
      <c r="CD9" s="966"/>
      <c r="CE9" s="966"/>
      <c r="CF9" s="966"/>
      <c r="CG9" s="966"/>
      <c r="CH9" s="965"/>
      <c r="CI9" s="966"/>
      <c r="CJ9" s="973"/>
      <c r="CK9" s="966"/>
      <c r="CL9" s="973"/>
      <c r="CM9" s="978"/>
      <c r="CN9" s="978"/>
      <c r="CO9" s="966"/>
      <c r="CP9" s="966"/>
      <c r="CQ9" s="966"/>
      <c r="CR9" s="966"/>
      <c r="CS9" s="966"/>
      <c r="CT9" s="966"/>
      <c r="CU9" s="965"/>
      <c r="CV9" s="966"/>
      <c r="CW9" s="973"/>
      <c r="CX9" s="966"/>
      <c r="CY9" s="973"/>
      <c r="CZ9" s="978"/>
      <c r="DA9" s="978"/>
      <c r="DB9" s="966"/>
      <c r="DC9" s="966"/>
      <c r="DD9" s="966"/>
      <c r="DE9" s="966"/>
      <c r="DF9" s="966"/>
      <c r="DG9" s="966"/>
      <c r="DH9" s="965"/>
      <c r="DI9" s="966"/>
      <c r="DJ9" s="973"/>
      <c r="DK9" s="966"/>
      <c r="DL9" s="973"/>
      <c r="DM9" s="978"/>
      <c r="DN9" s="978"/>
      <c r="DO9" s="966"/>
      <c r="DP9" s="966"/>
      <c r="DQ9" s="966"/>
      <c r="DR9" s="966"/>
      <c r="DS9" s="966"/>
      <c r="DT9" s="966"/>
      <c r="DU9" s="965"/>
      <c r="DV9" s="966"/>
      <c r="DW9" s="973"/>
      <c r="DX9" s="966"/>
      <c r="DY9" s="973"/>
      <c r="DZ9" s="978"/>
      <c r="EA9" s="978"/>
      <c r="EB9" s="966"/>
      <c r="EC9" s="966"/>
      <c r="ED9" s="966"/>
      <c r="EE9" s="966"/>
      <c r="EF9" s="966"/>
      <c r="EG9" s="966"/>
      <c r="EH9" s="965"/>
      <c r="EI9" s="966"/>
      <c r="EJ9" s="973"/>
      <c r="EK9" s="966"/>
      <c r="EL9" s="973"/>
      <c r="EM9" s="978"/>
      <c r="EN9" s="978"/>
      <c r="EO9" s="966"/>
      <c r="EP9" s="966"/>
      <c r="EQ9" s="966"/>
      <c r="ER9" s="966"/>
      <c r="ES9" s="966"/>
      <c r="ET9" s="966"/>
      <c r="EU9" s="965"/>
      <c r="EV9" s="966"/>
      <c r="EW9" s="973"/>
      <c r="EX9" s="966"/>
      <c r="EY9" s="973"/>
      <c r="EZ9" s="978"/>
      <c r="FA9" s="978"/>
      <c r="FB9" s="966"/>
      <c r="FC9" s="966"/>
      <c r="FD9" s="966"/>
      <c r="FE9" s="966"/>
      <c r="FF9" s="966"/>
      <c r="FG9" s="966"/>
      <c r="FH9" s="965"/>
      <c r="FI9" s="966"/>
      <c r="FJ9" s="973"/>
      <c r="FK9" s="966"/>
      <c r="FL9" s="973"/>
      <c r="FM9" s="978"/>
      <c r="FN9" s="978"/>
      <c r="FO9" s="966"/>
      <c r="FP9" s="966"/>
      <c r="FQ9" s="966"/>
      <c r="FR9" s="966"/>
      <c r="FS9" s="966"/>
      <c r="FT9" s="966"/>
      <c r="FU9" s="965"/>
      <c r="FV9" s="966"/>
      <c r="FW9" s="973"/>
      <c r="FX9" s="966"/>
      <c r="FY9" s="973"/>
      <c r="FZ9" s="978"/>
      <c r="GA9" s="978"/>
      <c r="GB9" s="966"/>
      <c r="GC9" s="966"/>
      <c r="GD9" s="966"/>
      <c r="GE9" s="966"/>
      <c r="GF9" s="966"/>
      <c r="GG9" s="966"/>
      <c r="GH9" s="965"/>
      <c r="GI9" s="966"/>
      <c r="GJ9" s="973"/>
      <c r="GK9" s="966"/>
      <c r="GL9" s="973"/>
      <c r="GM9" s="978"/>
      <c r="GN9" s="978"/>
      <c r="GO9" s="966"/>
      <c r="GP9" s="966"/>
      <c r="GQ9" s="966"/>
      <c r="GR9" s="966"/>
      <c r="GS9" s="966"/>
      <c r="GT9" s="966"/>
      <c r="GU9" s="965"/>
      <c r="GV9" s="966"/>
      <c r="GW9" s="973"/>
      <c r="GX9" s="966"/>
      <c r="GY9" s="973"/>
      <c r="GZ9" s="978"/>
      <c r="HA9" s="978"/>
      <c r="HB9" s="966"/>
      <c r="HC9" s="966"/>
      <c r="HD9" s="966"/>
      <c r="HE9" s="966"/>
      <c r="HF9" s="966"/>
      <c r="HG9" s="966"/>
      <c r="HH9" s="965"/>
      <c r="HI9" s="966"/>
      <c r="HJ9" s="973"/>
      <c r="HK9" s="966"/>
      <c r="HL9" s="973"/>
      <c r="HM9" s="978"/>
      <c r="HN9" s="978"/>
      <c r="HO9" s="966"/>
      <c r="HP9" s="966"/>
      <c r="HQ9" s="966"/>
      <c r="HR9" s="966"/>
      <c r="HS9" s="966"/>
      <c r="HT9" s="966"/>
      <c r="HU9" s="965"/>
      <c r="HV9" s="966"/>
      <c r="HW9" s="973"/>
      <c r="HX9" s="966"/>
      <c r="HY9" s="973"/>
      <c r="HZ9" s="978"/>
      <c r="IA9" s="978"/>
      <c r="IB9" s="966"/>
      <c r="IC9" s="966"/>
      <c r="ID9" s="966"/>
      <c r="IE9" s="966"/>
      <c r="IF9" s="966"/>
      <c r="IG9" s="966"/>
      <c r="IH9" s="965"/>
      <c r="II9" s="966"/>
      <c r="IJ9" s="973"/>
      <c r="IK9" s="966"/>
      <c r="IL9" s="973"/>
      <c r="IM9" s="978"/>
      <c r="IN9" s="978"/>
      <c r="IO9" s="966"/>
      <c r="IP9" s="966"/>
      <c r="IQ9" s="966"/>
      <c r="IR9" s="966"/>
      <c r="IS9" s="966"/>
      <c r="IT9" s="966"/>
      <c r="IU9" s="965"/>
      <c r="IV9" s="966"/>
      <c r="IW9" s="973"/>
      <c r="IX9" s="966"/>
      <c r="IY9" s="973"/>
      <c r="IZ9" s="978"/>
      <c r="JA9" s="978"/>
      <c r="JB9" s="966"/>
      <c r="JC9" s="966"/>
      <c r="JD9" s="966"/>
      <c r="JE9" s="966"/>
      <c r="JF9" s="966"/>
      <c r="JG9" s="966"/>
      <c r="JH9" s="965"/>
      <c r="JI9" s="966"/>
      <c r="JJ9" s="973"/>
      <c r="JK9" s="966"/>
      <c r="JL9" s="973"/>
      <c r="JM9" s="978"/>
      <c r="JN9" s="978"/>
      <c r="JO9" s="966"/>
      <c r="JP9" s="966"/>
      <c r="JQ9" s="966"/>
      <c r="JR9" s="966"/>
      <c r="JS9" s="966"/>
      <c r="JT9" s="966"/>
      <c r="JU9" s="965"/>
      <c r="JV9" s="966"/>
      <c r="JW9" s="973"/>
      <c r="JX9" s="966"/>
      <c r="JY9" s="973"/>
      <c r="JZ9" s="978"/>
      <c r="KA9" s="978"/>
      <c r="KB9" s="966"/>
      <c r="KC9" s="966"/>
      <c r="KD9" s="966"/>
      <c r="KE9" s="966"/>
      <c r="KF9" s="966"/>
      <c r="KG9" s="966"/>
      <c r="KH9" s="965"/>
      <c r="KI9" s="966"/>
      <c r="KJ9" s="973"/>
      <c r="KK9" s="966"/>
      <c r="KL9" s="973"/>
      <c r="KM9" s="978"/>
      <c r="KN9" s="978"/>
      <c r="KO9" s="966"/>
      <c r="KP9" s="966"/>
      <c r="KQ9" s="966"/>
      <c r="KR9" s="966"/>
      <c r="KS9" s="966"/>
      <c r="KT9" s="966"/>
      <c r="KU9" s="965"/>
      <c r="KV9" s="966"/>
      <c r="KW9" s="973"/>
      <c r="KX9" s="966"/>
      <c r="KY9" s="973"/>
      <c r="KZ9" s="978"/>
      <c r="LA9" s="978"/>
      <c r="LB9" s="966"/>
      <c r="LC9" s="966"/>
      <c r="LD9" s="966"/>
      <c r="LE9" s="966"/>
      <c r="LF9" s="966"/>
      <c r="LG9" s="966"/>
      <c r="LH9" s="965"/>
      <c r="LI9" s="966"/>
      <c r="LJ9" s="973"/>
      <c r="LK9" s="966"/>
      <c r="LL9" s="973"/>
      <c r="LM9" s="978"/>
      <c r="LN9" s="978"/>
      <c r="LO9" s="966"/>
      <c r="LP9" s="966"/>
      <c r="LQ9" s="966"/>
      <c r="LR9" s="966"/>
      <c r="LS9" s="966"/>
      <c r="LT9" s="966"/>
      <c r="LU9" s="965"/>
      <c r="LV9" s="966"/>
      <c r="LW9" s="973"/>
      <c r="LX9" s="966"/>
      <c r="LY9" s="973"/>
      <c r="LZ9" s="978"/>
      <c r="MA9" s="978"/>
      <c r="MB9" s="966"/>
      <c r="MC9" s="966"/>
      <c r="MD9" s="966"/>
      <c r="ME9" s="966"/>
      <c r="MF9" s="966"/>
      <c r="MG9" s="966"/>
    </row>
    <row r="10" spans="1:345">
      <c r="B10" s="196">
        <f>INDEX(Groups!$C$7:$C$65,MATCH(C10,Groups!$D$7:$D$65,0))</f>
        <v>41</v>
      </c>
      <c r="C10" s="197" t="str">
        <f>CalcA!$P$26</f>
        <v>Tsjechië</v>
      </c>
      <c r="D10" s="198">
        <f>INDEX(Groups!$C$7:$C$65,MATCH(E10,Groups!$D$7:$D$65,0))</f>
        <v>15</v>
      </c>
      <c r="E10" s="197" t="str">
        <f>CalcA!$Q$26</f>
        <v>Mexico</v>
      </c>
      <c r="F10" s="199" t="str">
        <f>CalcA!$R$26</f>
        <v/>
      </c>
      <c r="G10" s="200" t="str">
        <f>CalcA!$S$26</f>
        <v/>
      </c>
      <c r="I10" s="196">
        <f t="shared" si="0"/>
        <v>41</v>
      </c>
      <c r="J10" s="197" t="str">
        <f t="shared" si="4"/>
        <v>Tsjechië</v>
      </c>
      <c r="K10" s="198">
        <f t="shared" si="1"/>
        <v>15</v>
      </c>
      <c r="L10" s="197" t="str">
        <f t="shared" si="5"/>
        <v>Mexico</v>
      </c>
      <c r="M10" s="232"/>
      <c r="N10" s="232"/>
      <c r="O10" s="228"/>
      <c r="P10" s="198" t="str">
        <f t="shared" si="2"/>
        <v/>
      </c>
      <c r="Q10" s="198" t="str">
        <f>IF((P10&lt;&gt;""),IF(OR($F10&lt;&gt;$G10,PrSettings!$M$4="●"),(($F10-$G10)=(M10-N10))*1,0),"")</f>
        <v/>
      </c>
      <c r="R10" s="198" t="str">
        <f t="shared" si="3"/>
        <v/>
      </c>
      <c r="S10" s="198" t="str">
        <f>IF(P10&lt;&gt;"",IF(ABS($F10-$G10)&gt;=PrSettings!$M$7,(ABS($F10-$G10-M10+N10)&lt;=1)*1,IF(AND(P10,$F10=$G10,$F10&gt;=PrSettings!$M$6),(ABS(M10-$F10)&lt;=1)*1,IF(AND(P10,$F10+$G10&gt;=PrSettings!$M$8),(ABS(M10-$F10)+ABS(N10-$G10)&lt;=1)*1,""))),"")</f>
        <v/>
      </c>
      <c r="T10" s="989"/>
      <c r="U10" s="965"/>
      <c r="V10" s="966"/>
      <c r="W10" s="973"/>
      <c r="X10" s="966"/>
      <c r="Y10" s="973"/>
      <c r="Z10" s="978"/>
      <c r="AA10" s="978"/>
      <c r="AB10" s="966"/>
      <c r="AC10" s="966"/>
      <c r="AD10" s="966"/>
      <c r="AE10" s="966"/>
      <c r="AF10" s="966"/>
      <c r="AG10" s="966"/>
      <c r="AH10" s="965"/>
      <c r="AI10" s="966"/>
      <c r="AJ10" s="973"/>
      <c r="AK10" s="966"/>
      <c r="AL10" s="973"/>
      <c r="AM10" s="978"/>
      <c r="AN10" s="978"/>
      <c r="AO10" s="966"/>
      <c r="AP10" s="966"/>
      <c r="AQ10" s="966"/>
      <c r="AR10" s="966"/>
      <c r="AS10" s="966"/>
      <c r="AT10" s="966"/>
      <c r="AU10" s="965"/>
      <c r="AV10" s="966"/>
      <c r="AW10" s="973"/>
      <c r="AX10" s="966"/>
      <c r="AY10" s="973"/>
      <c r="AZ10" s="978"/>
      <c r="BA10" s="978"/>
      <c r="BB10" s="966"/>
      <c r="BC10" s="966"/>
      <c r="BD10" s="966"/>
      <c r="BE10" s="966"/>
      <c r="BF10" s="966"/>
      <c r="BG10" s="966"/>
      <c r="BH10" s="965"/>
      <c r="BI10" s="966"/>
      <c r="BJ10" s="973"/>
      <c r="BK10" s="966"/>
      <c r="BL10" s="973"/>
      <c r="BM10" s="978"/>
      <c r="BN10" s="978"/>
      <c r="BO10" s="966"/>
      <c r="BP10" s="966"/>
      <c r="BQ10" s="966"/>
      <c r="BR10" s="966"/>
      <c r="BS10" s="966"/>
      <c r="BT10" s="966"/>
      <c r="BU10" s="965"/>
      <c r="BV10" s="966"/>
      <c r="BW10" s="973"/>
      <c r="BX10" s="966"/>
      <c r="BY10" s="973"/>
      <c r="BZ10" s="978"/>
      <c r="CA10" s="978"/>
      <c r="CB10" s="966"/>
      <c r="CC10" s="966"/>
      <c r="CD10" s="966"/>
      <c r="CE10" s="966"/>
      <c r="CF10" s="966"/>
      <c r="CG10" s="966"/>
      <c r="CH10" s="965"/>
      <c r="CI10" s="966"/>
      <c r="CJ10" s="973"/>
      <c r="CK10" s="966"/>
      <c r="CL10" s="973"/>
      <c r="CM10" s="978"/>
      <c r="CN10" s="978"/>
      <c r="CO10" s="966"/>
      <c r="CP10" s="966"/>
      <c r="CQ10" s="966"/>
      <c r="CR10" s="966"/>
      <c r="CS10" s="966"/>
      <c r="CT10" s="966"/>
      <c r="CU10" s="965"/>
      <c r="CV10" s="966"/>
      <c r="CW10" s="973"/>
      <c r="CX10" s="966"/>
      <c r="CY10" s="973"/>
      <c r="CZ10" s="978"/>
      <c r="DA10" s="978"/>
      <c r="DB10" s="966"/>
      <c r="DC10" s="966"/>
      <c r="DD10" s="966"/>
      <c r="DE10" s="966"/>
      <c r="DF10" s="966"/>
      <c r="DG10" s="966"/>
      <c r="DH10" s="965"/>
      <c r="DI10" s="966"/>
      <c r="DJ10" s="973"/>
      <c r="DK10" s="966"/>
      <c r="DL10" s="973"/>
      <c r="DM10" s="978"/>
      <c r="DN10" s="978"/>
      <c r="DO10" s="966"/>
      <c r="DP10" s="966"/>
      <c r="DQ10" s="966"/>
      <c r="DR10" s="966"/>
      <c r="DS10" s="966"/>
      <c r="DT10" s="966"/>
      <c r="DU10" s="965"/>
      <c r="DV10" s="966"/>
      <c r="DW10" s="973"/>
      <c r="DX10" s="966"/>
      <c r="DY10" s="973"/>
      <c r="DZ10" s="978"/>
      <c r="EA10" s="978"/>
      <c r="EB10" s="966"/>
      <c r="EC10" s="966"/>
      <c r="ED10" s="966"/>
      <c r="EE10" s="966"/>
      <c r="EF10" s="966"/>
      <c r="EG10" s="966"/>
      <c r="EH10" s="965"/>
      <c r="EI10" s="966"/>
      <c r="EJ10" s="973"/>
      <c r="EK10" s="966"/>
      <c r="EL10" s="973"/>
      <c r="EM10" s="978"/>
      <c r="EN10" s="978"/>
      <c r="EO10" s="966"/>
      <c r="EP10" s="966"/>
      <c r="EQ10" s="966"/>
      <c r="ER10" s="966"/>
      <c r="ES10" s="966"/>
      <c r="ET10" s="966"/>
      <c r="EU10" s="965"/>
      <c r="EV10" s="966"/>
      <c r="EW10" s="973"/>
      <c r="EX10" s="966"/>
      <c r="EY10" s="973"/>
      <c r="EZ10" s="978"/>
      <c r="FA10" s="978"/>
      <c r="FB10" s="966"/>
      <c r="FC10" s="966"/>
      <c r="FD10" s="966"/>
      <c r="FE10" s="966"/>
      <c r="FF10" s="966"/>
      <c r="FG10" s="966"/>
      <c r="FH10" s="965"/>
      <c r="FI10" s="966"/>
      <c r="FJ10" s="973"/>
      <c r="FK10" s="966"/>
      <c r="FL10" s="973"/>
      <c r="FM10" s="978"/>
      <c r="FN10" s="978"/>
      <c r="FO10" s="966"/>
      <c r="FP10" s="966"/>
      <c r="FQ10" s="966"/>
      <c r="FR10" s="966"/>
      <c r="FS10" s="966"/>
      <c r="FT10" s="966"/>
      <c r="FU10" s="965"/>
      <c r="FV10" s="966"/>
      <c r="FW10" s="973"/>
      <c r="FX10" s="966"/>
      <c r="FY10" s="973"/>
      <c r="FZ10" s="978"/>
      <c r="GA10" s="978"/>
      <c r="GB10" s="966"/>
      <c r="GC10" s="966"/>
      <c r="GD10" s="966"/>
      <c r="GE10" s="966"/>
      <c r="GF10" s="966"/>
      <c r="GG10" s="966"/>
      <c r="GH10" s="965"/>
      <c r="GI10" s="966"/>
      <c r="GJ10" s="973"/>
      <c r="GK10" s="966"/>
      <c r="GL10" s="973"/>
      <c r="GM10" s="978"/>
      <c r="GN10" s="978"/>
      <c r="GO10" s="966"/>
      <c r="GP10" s="966"/>
      <c r="GQ10" s="966"/>
      <c r="GR10" s="966"/>
      <c r="GS10" s="966"/>
      <c r="GT10" s="966"/>
      <c r="GU10" s="965"/>
      <c r="GV10" s="966"/>
      <c r="GW10" s="973"/>
      <c r="GX10" s="966"/>
      <c r="GY10" s="973"/>
      <c r="GZ10" s="978"/>
      <c r="HA10" s="978"/>
      <c r="HB10" s="966"/>
      <c r="HC10" s="966"/>
      <c r="HD10" s="966"/>
      <c r="HE10" s="966"/>
      <c r="HF10" s="966"/>
      <c r="HG10" s="966"/>
      <c r="HH10" s="965"/>
      <c r="HI10" s="966"/>
      <c r="HJ10" s="973"/>
      <c r="HK10" s="966"/>
      <c r="HL10" s="973"/>
      <c r="HM10" s="978"/>
      <c r="HN10" s="978"/>
      <c r="HO10" s="966"/>
      <c r="HP10" s="966"/>
      <c r="HQ10" s="966"/>
      <c r="HR10" s="966"/>
      <c r="HS10" s="966"/>
      <c r="HT10" s="966"/>
      <c r="HU10" s="965"/>
      <c r="HV10" s="966"/>
      <c r="HW10" s="973"/>
      <c r="HX10" s="966"/>
      <c r="HY10" s="973"/>
      <c r="HZ10" s="978"/>
      <c r="IA10" s="978"/>
      <c r="IB10" s="966"/>
      <c r="IC10" s="966"/>
      <c r="ID10" s="966"/>
      <c r="IE10" s="966"/>
      <c r="IF10" s="966"/>
      <c r="IG10" s="966"/>
      <c r="IH10" s="965"/>
      <c r="II10" s="966"/>
      <c r="IJ10" s="973"/>
      <c r="IK10" s="966"/>
      <c r="IL10" s="973"/>
      <c r="IM10" s="978"/>
      <c r="IN10" s="978"/>
      <c r="IO10" s="966"/>
      <c r="IP10" s="966"/>
      <c r="IQ10" s="966"/>
      <c r="IR10" s="966"/>
      <c r="IS10" s="966"/>
      <c r="IT10" s="966"/>
      <c r="IU10" s="965"/>
      <c r="IV10" s="966"/>
      <c r="IW10" s="973"/>
      <c r="IX10" s="966"/>
      <c r="IY10" s="973"/>
      <c r="IZ10" s="978"/>
      <c r="JA10" s="978"/>
      <c r="JB10" s="966"/>
      <c r="JC10" s="966"/>
      <c r="JD10" s="966"/>
      <c r="JE10" s="966"/>
      <c r="JF10" s="966"/>
      <c r="JG10" s="966"/>
      <c r="JH10" s="965"/>
      <c r="JI10" s="966"/>
      <c r="JJ10" s="973"/>
      <c r="JK10" s="966"/>
      <c r="JL10" s="973"/>
      <c r="JM10" s="978"/>
      <c r="JN10" s="978"/>
      <c r="JO10" s="966"/>
      <c r="JP10" s="966"/>
      <c r="JQ10" s="966"/>
      <c r="JR10" s="966"/>
      <c r="JS10" s="966"/>
      <c r="JT10" s="966"/>
      <c r="JU10" s="965"/>
      <c r="JV10" s="966"/>
      <c r="JW10" s="973"/>
      <c r="JX10" s="966"/>
      <c r="JY10" s="973"/>
      <c r="JZ10" s="978"/>
      <c r="KA10" s="978"/>
      <c r="KB10" s="966"/>
      <c r="KC10" s="966"/>
      <c r="KD10" s="966"/>
      <c r="KE10" s="966"/>
      <c r="KF10" s="966"/>
      <c r="KG10" s="966"/>
      <c r="KH10" s="965"/>
      <c r="KI10" s="966"/>
      <c r="KJ10" s="973"/>
      <c r="KK10" s="966"/>
      <c r="KL10" s="973"/>
      <c r="KM10" s="978"/>
      <c r="KN10" s="978"/>
      <c r="KO10" s="966"/>
      <c r="KP10" s="966"/>
      <c r="KQ10" s="966"/>
      <c r="KR10" s="966"/>
      <c r="KS10" s="966"/>
      <c r="KT10" s="966"/>
      <c r="KU10" s="965"/>
      <c r="KV10" s="966"/>
      <c r="KW10" s="973"/>
      <c r="KX10" s="966"/>
      <c r="KY10" s="973"/>
      <c r="KZ10" s="978"/>
      <c r="LA10" s="978"/>
      <c r="LB10" s="966"/>
      <c r="LC10" s="966"/>
      <c r="LD10" s="966"/>
      <c r="LE10" s="966"/>
      <c r="LF10" s="966"/>
      <c r="LG10" s="966"/>
      <c r="LH10" s="965"/>
      <c r="LI10" s="966"/>
      <c r="LJ10" s="973"/>
      <c r="LK10" s="966"/>
      <c r="LL10" s="973"/>
      <c r="LM10" s="978"/>
      <c r="LN10" s="978"/>
      <c r="LO10" s="966"/>
      <c r="LP10" s="966"/>
      <c r="LQ10" s="966"/>
      <c r="LR10" s="966"/>
      <c r="LS10" s="966"/>
      <c r="LT10" s="966"/>
      <c r="LU10" s="965"/>
      <c r="LV10" s="966"/>
      <c r="LW10" s="973"/>
      <c r="LX10" s="966"/>
      <c r="LY10" s="973"/>
      <c r="LZ10" s="978"/>
      <c r="MA10" s="978"/>
      <c r="MB10" s="966"/>
      <c r="MC10" s="966"/>
      <c r="MD10" s="966"/>
      <c r="ME10" s="966"/>
      <c r="MF10" s="966"/>
      <c r="MG10" s="966"/>
    </row>
    <row r="11" spans="1:345">
      <c r="B11" s="196">
        <f>INDEX(Groups!$C$7:$C$65,MATCH(C11,Groups!$D$7:$D$65,0))</f>
        <v>60</v>
      </c>
      <c r="C11" s="197" t="str">
        <f>CalcA!$P$27</f>
        <v>Zuid-Afrika</v>
      </c>
      <c r="D11" s="198">
        <f>INDEX(Groups!$C$7:$C$65,MATCH(E11,Groups!$D$7:$D$65,0))</f>
        <v>25</v>
      </c>
      <c r="E11" s="197" t="str">
        <f>CalcA!$Q$27</f>
        <v>Rep. Korea</v>
      </c>
      <c r="F11" s="199" t="str">
        <f>CalcA!$R$27</f>
        <v/>
      </c>
      <c r="G11" s="200" t="str">
        <f>CalcA!$S$27</f>
        <v/>
      </c>
      <c r="I11" s="196">
        <f t="shared" si="0"/>
        <v>60</v>
      </c>
      <c r="J11" s="197" t="str">
        <f t="shared" si="4"/>
        <v>Zuid-Afrika</v>
      </c>
      <c r="K11" s="198">
        <f t="shared" si="1"/>
        <v>25</v>
      </c>
      <c r="L11" s="197" t="str">
        <f t="shared" si="5"/>
        <v>Rep. Korea</v>
      </c>
      <c r="M11" s="232"/>
      <c r="N11" s="232"/>
      <c r="O11" s="473"/>
      <c r="P11" s="198" t="str">
        <f t="shared" si="2"/>
        <v/>
      </c>
      <c r="Q11" s="198" t="str">
        <f>IF((P11&lt;&gt;""),IF(OR($F11&lt;&gt;$G11,PrSettings!$M$4="●"),(($F11-$G11)=(M11-N11))*1,0),"")</f>
        <v/>
      </c>
      <c r="R11" s="198" t="str">
        <f t="shared" si="3"/>
        <v/>
      </c>
      <c r="S11" s="198" t="str">
        <f>IF(P11&lt;&gt;"",IF(ABS($F11-$G11)&gt;=PrSettings!$M$7,(ABS($F11-$G11-M11+N11)&lt;=1)*1,IF(AND(P11,$F11=$G11,$F11&gt;=PrSettings!$M$6),(ABS(M11-$F11)&lt;=1)*1,IF(AND(P11,$F11+$G11&gt;=PrSettings!$M$8),(ABS(M11-$F11)+ABS(N11-$G11)&lt;=1)*1,""))),"")</f>
        <v/>
      </c>
      <c r="T11" s="990"/>
      <c r="U11" s="965"/>
      <c r="V11" s="966"/>
      <c r="W11" s="973"/>
      <c r="X11" s="966"/>
      <c r="Y11" s="973"/>
      <c r="Z11" s="978"/>
      <c r="AA11" s="978"/>
      <c r="AB11" s="966"/>
      <c r="AC11" s="966"/>
      <c r="AD11" s="966"/>
      <c r="AE11" s="966"/>
      <c r="AF11" s="966"/>
      <c r="AG11" s="966"/>
      <c r="AH11" s="965"/>
      <c r="AI11" s="966"/>
      <c r="AJ11" s="973"/>
      <c r="AK11" s="966"/>
      <c r="AL11" s="973"/>
      <c r="AM11" s="978"/>
      <c r="AN11" s="978"/>
      <c r="AO11" s="966"/>
      <c r="AP11" s="966"/>
      <c r="AQ11" s="966"/>
      <c r="AR11" s="966"/>
      <c r="AS11" s="966"/>
      <c r="AT11" s="966"/>
      <c r="AU11" s="965"/>
      <c r="AV11" s="966"/>
      <c r="AW11" s="973"/>
      <c r="AX11" s="966"/>
      <c r="AY11" s="973"/>
      <c r="AZ11" s="978"/>
      <c r="BA11" s="978"/>
      <c r="BB11" s="966"/>
      <c r="BC11" s="966"/>
      <c r="BD11" s="966"/>
      <c r="BE11" s="966"/>
      <c r="BF11" s="966"/>
      <c r="BG11" s="966"/>
      <c r="BH11" s="965"/>
      <c r="BI11" s="966"/>
      <c r="BJ11" s="973"/>
      <c r="BK11" s="966"/>
      <c r="BL11" s="973"/>
      <c r="BM11" s="978"/>
      <c r="BN11" s="978"/>
      <c r="BO11" s="966"/>
      <c r="BP11" s="966"/>
      <c r="BQ11" s="966"/>
      <c r="BR11" s="966"/>
      <c r="BS11" s="966"/>
      <c r="BT11" s="966"/>
      <c r="BU11" s="965"/>
      <c r="BV11" s="966"/>
      <c r="BW11" s="973"/>
      <c r="BX11" s="966"/>
      <c r="BY11" s="973"/>
      <c r="BZ11" s="978"/>
      <c r="CA11" s="978"/>
      <c r="CB11" s="966"/>
      <c r="CC11" s="966"/>
      <c r="CD11" s="966"/>
      <c r="CE11" s="966"/>
      <c r="CF11" s="966"/>
      <c r="CG11" s="966"/>
      <c r="CH11" s="965"/>
      <c r="CI11" s="966"/>
      <c r="CJ11" s="973"/>
      <c r="CK11" s="966"/>
      <c r="CL11" s="973"/>
      <c r="CM11" s="978"/>
      <c r="CN11" s="978"/>
      <c r="CO11" s="966"/>
      <c r="CP11" s="966"/>
      <c r="CQ11" s="966"/>
      <c r="CR11" s="966"/>
      <c r="CS11" s="966"/>
      <c r="CT11" s="966"/>
      <c r="CU11" s="965"/>
      <c r="CV11" s="966"/>
      <c r="CW11" s="973"/>
      <c r="CX11" s="966"/>
      <c r="CY11" s="973"/>
      <c r="CZ11" s="978"/>
      <c r="DA11" s="978"/>
      <c r="DB11" s="966"/>
      <c r="DC11" s="966"/>
      <c r="DD11" s="966"/>
      <c r="DE11" s="966"/>
      <c r="DF11" s="966"/>
      <c r="DG11" s="966"/>
      <c r="DH11" s="965"/>
      <c r="DI11" s="966"/>
      <c r="DJ11" s="973"/>
      <c r="DK11" s="966"/>
      <c r="DL11" s="973"/>
      <c r="DM11" s="978"/>
      <c r="DN11" s="978"/>
      <c r="DO11" s="966"/>
      <c r="DP11" s="966"/>
      <c r="DQ11" s="966"/>
      <c r="DR11" s="966"/>
      <c r="DS11" s="966"/>
      <c r="DT11" s="966"/>
      <c r="DU11" s="965"/>
      <c r="DV11" s="966"/>
      <c r="DW11" s="973"/>
      <c r="DX11" s="966"/>
      <c r="DY11" s="973"/>
      <c r="DZ11" s="978"/>
      <c r="EA11" s="978"/>
      <c r="EB11" s="966"/>
      <c r="EC11" s="966"/>
      <c r="ED11" s="966"/>
      <c r="EE11" s="966"/>
      <c r="EF11" s="966"/>
      <c r="EG11" s="966"/>
      <c r="EH11" s="965"/>
      <c r="EI11" s="966"/>
      <c r="EJ11" s="973"/>
      <c r="EK11" s="966"/>
      <c r="EL11" s="973"/>
      <c r="EM11" s="978"/>
      <c r="EN11" s="978"/>
      <c r="EO11" s="966"/>
      <c r="EP11" s="966"/>
      <c r="EQ11" s="966"/>
      <c r="ER11" s="966"/>
      <c r="ES11" s="966"/>
      <c r="ET11" s="966"/>
      <c r="EU11" s="965"/>
      <c r="EV11" s="966"/>
      <c r="EW11" s="973"/>
      <c r="EX11" s="966"/>
      <c r="EY11" s="973"/>
      <c r="EZ11" s="978"/>
      <c r="FA11" s="978"/>
      <c r="FB11" s="966"/>
      <c r="FC11" s="966"/>
      <c r="FD11" s="966"/>
      <c r="FE11" s="966"/>
      <c r="FF11" s="966"/>
      <c r="FG11" s="966"/>
      <c r="FH11" s="965"/>
      <c r="FI11" s="966"/>
      <c r="FJ11" s="973"/>
      <c r="FK11" s="966"/>
      <c r="FL11" s="973"/>
      <c r="FM11" s="978"/>
      <c r="FN11" s="978"/>
      <c r="FO11" s="966"/>
      <c r="FP11" s="966"/>
      <c r="FQ11" s="966"/>
      <c r="FR11" s="966"/>
      <c r="FS11" s="966"/>
      <c r="FT11" s="966"/>
      <c r="FU11" s="965"/>
      <c r="FV11" s="966"/>
      <c r="FW11" s="973"/>
      <c r="FX11" s="966"/>
      <c r="FY11" s="973"/>
      <c r="FZ11" s="978"/>
      <c r="GA11" s="978"/>
      <c r="GB11" s="966"/>
      <c r="GC11" s="966"/>
      <c r="GD11" s="966"/>
      <c r="GE11" s="966"/>
      <c r="GF11" s="966"/>
      <c r="GG11" s="966"/>
      <c r="GH11" s="965"/>
      <c r="GI11" s="966"/>
      <c r="GJ11" s="973"/>
      <c r="GK11" s="966"/>
      <c r="GL11" s="973"/>
      <c r="GM11" s="978"/>
      <c r="GN11" s="978"/>
      <c r="GO11" s="966"/>
      <c r="GP11" s="966"/>
      <c r="GQ11" s="966"/>
      <c r="GR11" s="966"/>
      <c r="GS11" s="966"/>
      <c r="GT11" s="966"/>
      <c r="GU11" s="965"/>
      <c r="GV11" s="966"/>
      <c r="GW11" s="973"/>
      <c r="GX11" s="966"/>
      <c r="GY11" s="973"/>
      <c r="GZ11" s="978"/>
      <c r="HA11" s="978"/>
      <c r="HB11" s="966"/>
      <c r="HC11" s="966"/>
      <c r="HD11" s="966"/>
      <c r="HE11" s="966"/>
      <c r="HF11" s="966"/>
      <c r="HG11" s="966"/>
      <c r="HH11" s="965"/>
      <c r="HI11" s="966"/>
      <c r="HJ11" s="973"/>
      <c r="HK11" s="966"/>
      <c r="HL11" s="973"/>
      <c r="HM11" s="978"/>
      <c r="HN11" s="978"/>
      <c r="HO11" s="966"/>
      <c r="HP11" s="966"/>
      <c r="HQ11" s="966"/>
      <c r="HR11" s="966"/>
      <c r="HS11" s="966"/>
      <c r="HT11" s="966"/>
      <c r="HU11" s="965"/>
      <c r="HV11" s="966"/>
      <c r="HW11" s="973"/>
      <c r="HX11" s="966"/>
      <c r="HY11" s="973"/>
      <c r="HZ11" s="978"/>
      <c r="IA11" s="978"/>
      <c r="IB11" s="966"/>
      <c r="IC11" s="966"/>
      <c r="ID11" s="966"/>
      <c r="IE11" s="966"/>
      <c r="IF11" s="966"/>
      <c r="IG11" s="966"/>
      <c r="IH11" s="965"/>
      <c r="II11" s="966"/>
      <c r="IJ11" s="973"/>
      <c r="IK11" s="966"/>
      <c r="IL11" s="973"/>
      <c r="IM11" s="978"/>
      <c r="IN11" s="978"/>
      <c r="IO11" s="966"/>
      <c r="IP11" s="966"/>
      <c r="IQ11" s="966"/>
      <c r="IR11" s="966"/>
      <c r="IS11" s="966"/>
      <c r="IT11" s="966"/>
      <c r="IU11" s="965"/>
      <c r="IV11" s="966"/>
      <c r="IW11" s="973"/>
      <c r="IX11" s="966"/>
      <c r="IY11" s="973"/>
      <c r="IZ11" s="978"/>
      <c r="JA11" s="978"/>
      <c r="JB11" s="966"/>
      <c r="JC11" s="966"/>
      <c r="JD11" s="966"/>
      <c r="JE11" s="966"/>
      <c r="JF11" s="966"/>
      <c r="JG11" s="966"/>
      <c r="JH11" s="965"/>
      <c r="JI11" s="966"/>
      <c r="JJ11" s="973"/>
      <c r="JK11" s="966"/>
      <c r="JL11" s="973"/>
      <c r="JM11" s="978"/>
      <c r="JN11" s="978"/>
      <c r="JO11" s="966"/>
      <c r="JP11" s="966"/>
      <c r="JQ11" s="966"/>
      <c r="JR11" s="966"/>
      <c r="JS11" s="966"/>
      <c r="JT11" s="966"/>
      <c r="JU11" s="965"/>
      <c r="JV11" s="966"/>
      <c r="JW11" s="973"/>
      <c r="JX11" s="966"/>
      <c r="JY11" s="973"/>
      <c r="JZ11" s="978"/>
      <c r="KA11" s="978"/>
      <c r="KB11" s="966"/>
      <c r="KC11" s="966"/>
      <c r="KD11" s="966"/>
      <c r="KE11" s="966"/>
      <c r="KF11" s="966"/>
      <c r="KG11" s="966"/>
      <c r="KH11" s="965"/>
      <c r="KI11" s="966"/>
      <c r="KJ11" s="973"/>
      <c r="KK11" s="966"/>
      <c r="KL11" s="973"/>
      <c r="KM11" s="978"/>
      <c r="KN11" s="978"/>
      <c r="KO11" s="966"/>
      <c r="KP11" s="966"/>
      <c r="KQ11" s="966"/>
      <c r="KR11" s="966"/>
      <c r="KS11" s="966"/>
      <c r="KT11" s="966"/>
      <c r="KU11" s="965"/>
      <c r="KV11" s="966"/>
      <c r="KW11" s="973"/>
      <c r="KX11" s="966"/>
      <c r="KY11" s="973"/>
      <c r="KZ11" s="978"/>
      <c r="LA11" s="978"/>
      <c r="LB11" s="966"/>
      <c r="LC11" s="966"/>
      <c r="LD11" s="966"/>
      <c r="LE11" s="966"/>
      <c r="LF11" s="966"/>
      <c r="LG11" s="966"/>
      <c r="LH11" s="965"/>
      <c r="LI11" s="966"/>
      <c r="LJ11" s="973"/>
      <c r="LK11" s="966"/>
      <c r="LL11" s="973"/>
      <c r="LM11" s="978"/>
      <c r="LN11" s="978"/>
      <c r="LO11" s="966"/>
      <c r="LP11" s="966"/>
      <c r="LQ11" s="966"/>
      <c r="LR11" s="966"/>
      <c r="LS11" s="966"/>
      <c r="LT11" s="966"/>
      <c r="LU11" s="965"/>
      <c r="LV11" s="966"/>
      <c r="LW11" s="973"/>
      <c r="LX11" s="966"/>
      <c r="LY11" s="973"/>
      <c r="LZ11" s="978"/>
      <c r="MA11" s="978"/>
      <c r="MB11" s="966"/>
      <c r="MC11" s="966"/>
      <c r="MD11" s="966"/>
      <c r="ME11" s="966"/>
      <c r="MF11" s="966"/>
      <c r="MG11" s="966"/>
    </row>
    <row r="12" spans="1:345" ht="24" customHeight="1">
      <c r="B12" s="205" t="str">
        <f>Language!$E$130&amp;" B"</f>
        <v>Groep B</v>
      </c>
      <c r="C12" s="206"/>
      <c r="D12" s="211"/>
      <c r="E12" s="208"/>
      <c r="F12" s="212"/>
      <c r="G12" s="213"/>
      <c r="I12" s="205" t="str">
        <f t="shared" si="0"/>
        <v>Groep B</v>
      </c>
      <c r="J12" s="207"/>
      <c r="K12" s="211"/>
      <c r="L12" s="208"/>
      <c r="M12" s="236"/>
      <c r="N12" s="237"/>
      <c r="O12" s="209"/>
      <c r="P12" s="220"/>
      <c r="Q12" s="220"/>
      <c r="R12" s="208"/>
      <c r="S12" s="208"/>
      <c r="T12" s="987"/>
      <c r="U12" s="965"/>
      <c r="V12" s="972"/>
      <c r="W12" s="972"/>
      <c r="X12" s="966"/>
      <c r="Y12" s="973"/>
      <c r="Z12" s="974"/>
      <c r="AA12" s="975"/>
      <c r="AB12" s="976"/>
      <c r="AC12" s="977"/>
      <c r="AD12" s="977"/>
      <c r="AE12" s="973"/>
      <c r="AF12" s="973"/>
      <c r="AG12" s="973"/>
      <c r="AH12" s="965"/>
      <c r="AI12" s="972"/>
      <c r="AJ12" s="972"/>
      <c r="AK12" s="966"/>
      <c r="AL12" s="973"/>
      <c r="AM12" s="974"/>
      <c r="AN12" s="975"/>
      <c r="AO12" s="976"/>
      <c r="AP12" s="977"/>
      <c r="AQ12" s="977"/>
      <c r="AR12" s="973"/>
      <c r="AS12" s="973"/>
      <c r="AT12" s="973"/>
      <c r="AU12" s="965"/>
      <c r="AV12" s="972"/>
      <c r="AW12" s="972"/>
      <c r="AX12" s="966"/>
      <c r="AY12" s="973"/>
      <c r="AZ12" s="974"/>
      <c r="BA12" s="975"/>
      <c r="BB12" s="976"/>
      <c r="BC12" s="977"/>
      <c r="BD12" s="977"/>
      <c r="BE12" s="973"/>
      <c r="BF12" s="973"/>
      <c r="BG12" s="973"/>
      <c r="BH12" s="965"/>
      <c r="BI12" s="972"/>
      <c r="BJ12" s="972"/>
      <c r="BK12" s="966"/>
      <c r="BL12" s="973"/>
      <c r="BM12" s="974"/>
      <c r="BN12" s="975"/>
      <c r="BO12" s="976"/>
      <c r="BP12" s="977"/>
      <c r="BQ12" s="977"/>
      <c r="BR12" s="973"/>
      <c r="BS12" s="973"/>
      <c r="BT12" s="973"/>
      <c r="BU12" s="965"/>
      <c r="BV12" s="972"/>
      <c r="BW12" s="972"/>
      <c r="BX12" s="966"/>
      <c r="BY12" s="973"/>
      <c r="BZ12" s="974"/>
      <c r="CA12" s="975"/>
      <c r="CB12" s="976"/>
      <c r="CC12" s="977"/>
      <c r="CD12" s="977"/>
      <c r="CE12" s="973"/>
      <c r="CF12" s="973"/>
      <c r="CG12" s="973"/>
      <c r="CH12" s="965"/>
      <c r="CI12" s="972"/>
      <c r="CJ12" s="972"/>
      <c r="CK12" s="966"/>
      <c r="CL12" s="973"/>
      <c r="CM12" s="974"/>
      <c r="CN12" s="975"/>
      <c r="CO12" s="976"/>
      <c r="CP12" s="977"/>
      <c r="CQ12" s="977"/>
      <c r="CR12" s="973"/>
      <c r="CS12" s="973"/>
      <c r="CT12" s="973"/>
      <c r="CU12" s="965"/>
      <c r="CV12" s="972"/>
      <c r="CW12" s="972"/>
      <c r="CX12" s="966"/>
      <c r="CY12" s="973"/>
      <c r="CZ12" s="974"/>
      <c r="DA12" s="975"/>
      <c r="DB12" s="976"/>
      <c r="DC12" s="977"/>
      <c r="DD12" s="977"/>
      <c r="DE12" s="973"/>
      <c r="DF12" s="973"/>
      <c r="DG12" s="973"/>
      <c r="DH12" s="965"/>
      <c r="DI12" s="972"/>
      <c r="DJ12" s="972"/>
      <c r="DK12" s="966"/>
      <c r="DL12" s="973"/>
      <c r="DM12" s="974"/>
      <c r="DN12" s="975"/>
      <c r="DO12" s="976"/>
      <c r="DP12" s="977"/>
      <c r="DQ12" s="977"/>
      <c r="DR12" s="973"/>
      <c r="DS12" s="973"/>
      <c r="DT12" s="973"/>
      <c r="DU12" s="965"/>
      <c r="DV12" s="972"/>
      <c r="DW12" s="972"/>
      <c r="DX12" s="966"/>
      <c r="DY12" s="973"/>
      <c r="DZ12" s="974"/>
      <c r="EA12" s="975"/>
      <c r="EB12" s="976"/>
      <c r="EC12" s="977"/>
      <c r="ED12" s="977"/>
      <c r="EE12" s="973"/>
      <c r="EF12" s="973"/>
      <c r="EG12" s="973"/>
      <c r="EH12" s="965"/>
      <c r="EI12" s="972"/>
      <c r="EJ12" s="972"/>
      <c r="EK12" s="966"/>
      <c r="EL12" s="973"/>
      <c r="EM12" s="974"/>
      <c r="EN12" s="975"/>
      <c r="EO12" s="976"/>
      <c r="EP12" s="977"/>
      <c r="EQ12" s="977"/>
      <c r="ER12" s="973"/>
      <c r="ES12" s="973"/>
      <c r="ET12" s="973"/>
      <c r="EU12" s="965"/>
      <c r="EV12" s="972"/>
      <c r="EW12" s="972"/>
      <c r="EX12" s="966"/>
      <c r="EY12" s="973"/>
      <c r="EZ12" s="974"/>
      <c r="FA12" s="975"/>
      <c r="FB12" s="976"/>
      <c r="FC12" s="977"/>
      <c r="FD12" s="977"/>
      <c r="FE12" s="973"/>
      <c r="FF12" s="973"/>
      <c r="FG12" s="973"/>
      <c r="FH12" s="965"/>
      <c r="FI12" s="972"/>
      <c r="FJ12" s="972"/>
      <c r="FK12" s="966"/>
      <c r="FL12" s="973"/>
      <c r="FM12" s="974"/>
      <c r="FN12" s="975"/>
      <c r="FO12" s="976"/>
      <c r="FP12" s="977"/>
      <c r="FQ12" s="977"/>
      <c r="FR12" s="973"/>
      <c r="FS12" s="973"/>
      <c r="FT12" s="973"/>
      <c r="FU12" s="965"/>
      <c r="FV12" s="972"/>
      <c r="FW12" s="972"/>
      <c r="FX12" s="966"/>
      <c r="FY12" s="973"/>
      <c r="FZ12" s="974"/>
      <c r="GA12" s="975"/>
      <c r="GB12" s="976"/>
      <c r="GC12" s="977"/>
      <c r="GD12" s="977"/>
      <c r="GE12" s="973"/>
      <c r="GF12" s="973"/>
      <c r="GG12" s="973"/>
      <c r="GH12" s="965"/>
      <c r="GI12" s="972"/>
      <c r="GJ12" s="972"/>
      <c r="GK12" s="966"/>
      <c r="GL12" s="973"/>
      <c r="GM12" s="974"/>
      <c r="GN12" s="975"/>
      <c r="GO12" s="976"/>
      <c r="GP12" s="977"/>
      <c r="GQ12" s="977"/>
      <c r="GR12" s="973"/>
      <c r="GS12" s="973"/>
      <c r="GT12" s="973"/>
      <c r="GU12" s="965"/>
      <c r="GV12" s="972"/>
      <c r="GW12" s="972"/>
      <c r="GX12" s="966"/>
      <c r="GY12" s="973"/>
      <c r="GZ12" s="974"/>
      <c r="HA12" s="975"/>
      <c r="HB12" s="976"/>
      <c r="HC12" s="977"/>
      <c r="HD12" s="977"/>
      <c r="HE12" s="973"/>
      <c r="HF12" s="973"/>
      <c r="HG12" s="973"/>
      <c r="HH12" s="965"/>
      <c r="HI12" s="972"/>
      <c r="HJ12" s="972"/>
      <c r="HK12" s="966"/>
      <c r="HL12" s="973"/>
      <c r="HM12" s="974"/>
      <c r="HN12" s="975"/>
      <c r="HO12" s="976"/>
      <c r="HP12" s="977"/>
      <c r="HQ12" s="977"/>
      <c r="HR12" s="973"/>
      <c r="HS12" s="973"/>
      <c r="HT12" s="973"/>
      <c r="HU12" s="965"/>
      <c r="HV12" s="972"/>
      <c r="HW12" s="972"/>
      <c r="HX12" s="966"/>
      <c r="HY12" s="973"/>
      <c r="HZ12" s="974"/>
      <c r="IA12" s="975"/>
      <c r="IB12" s="976"/>
      <c r="IC12" s="977"/>
      <c r="ID12" s="977"/>
      <c r="IE12" s="973"/>
      <c r="IF12" s="973"/>
      <c r="IG12" s="973"/>
      <c r="IH12" s="965"/>
      <c r="II12" s="972"/>
      <c r="IJ12" s="972"/>
      <c r="IK12" s="966"/>
      <c r="IL12" s="973"/>
      <c r="IM12" s="974"/>
      <c r="IN12" s="975"/>
      <c r="IO12" s="976"/>
      <c r="IP12" s="977"/>
      <c r="IQ12" s="977"/>
      <c r="IR12" s="973"/>
      <c r="IS12" s="973"/>
      <c r="IT12" s="973"/>
      <c r="IU12" s="965"/>
      <c r="IV12" s="972"/>
      <c r="IW12" s="972"/>
      <c r="IX12" s="966"/>
      <c r="IY12" s="973"/>
      <c r="IZ12" s="974"/>
      <c r="JA12" s="975"/>
      <c r="JB12" s="976"/>
      <c r="JC12" s="977"/>
      <c r="JD12" s="977"/>
      <c r="JE12" s="973"/>
      <c r="JF12" s="973"/>
      <c r="JG12" s="973"/>
      <c r="JH12" s="965"/>
      <c r="JI12" s="972"/>
      <c r="JJ12" s="972"/>
      <c r="JK12" s="966"/>
      <c r="JL12" s="973"/>
      <c r="JM12" s="974"/>
      <c r="JN12" s="975"/>
      <c r="JO12" s="976"/>
      <c r="JP12" s="977"/>
      <c r="JQ12" s="977"/>
      <c r="JR12" s="973"/>
      <c r="JS12" s="973"/>
      <c r="JT12" s="973"/>
      <c r="JU12" s="965"/>
      <c r="JV12" s="972"/>
      <c r="JW12" s="972"/>
      <c r="JX12" s="966"/>
      <c r="JY12" s="973"/>
      <c r="JZ12" s="974"/>
      <c r="KA12" s="975"/>
      <c r="KB12" s="976"/>
      <c r="KC12" s="977"/>
      <c r="KD12" s="977"/>
      <c r="KE12" s="973"/>
      <c r="KF12" s="973"/>
      <c r="KG12" s="973"/>
      <c r="KH12" s="965"/>
      <c r="KI12" s="972"/>
      <c r="KJ12" s="972"/>
      <c r="KK12" s="966"/>
      <c r="KL12" s="973"/>
      <c r="KM12" s="974"/>
      <c r="KN12" s="975"/>
      <c r="KO12" s="976"/>
      <c r="KP12" s="977"/>
      <c r="KQ12" s="977"/>
      <c r="KR12" s="973"/>
      <c r="KS12" s="973"/>
      <c r="KT12" s="973"/>
      <c r="KU12" s="965"/>
      <c r="KV12" s="972"/>
      <c r="KW12" s="972"/>
      <c r="KX12" s="966"/>
      <c r="KY12" s="973"/>
      <c r="KZ12" s="974"/>
      <c r="LA12" s="975"/>
      <c r="LB12" s="976"/>
      <c r="LC12" s="977"/>
      <c r="LD12" s="977"/>
      <c r="LE12" s="973"/>
      <c r="LF12" s="973"/>
      <c r="LG12" s="973"/>
      <c r="LH12" s="965"/>
      <c r="LI12" s="972"/>
      <c r="LJ12" s="972"/>
      <c r="LK12" s="966"/>
      <c r="LL12" s="973"/>
      <c r="LM12" s="974"/>
      <c r="LN12" s="975"/>
      <c r="LO12" s="976"/>
      <c r="LP12" s="977"/>
      <c r="LQ12" s="977"/>
      <c r="LR12" s="973"/>
      <c r="LS12" s="973"/>
      <c r="LT12" s="973"/>
      <c r="LU12" s="965"/>
      <c r="LV12" s="972"/>
      <c r="LW12" s="972"/>
      <c r="LX12" s="966"/>
      <c r="LY12" s="973"/>
      <c r="LZ12" s="974"/>
      <c r="MA12" s="975"/>
      <c r="MB12" s="976"/>
      <c r="MC12" s="977"/>
      <c r="MD12" s="977"/>
      <c r="ME12" s="973"/>
      <c r="MF12" s="973"/>
      <c r="MG12" s="973"/>
    </row>
    <row r="13" spans="1:345">
      <c r="B13" s="196">
        <f>INDEX(Groups!$C$7:$C$65,MATCH(C13,Groups!$D$7:$D$65,0))</f>
        <v>30</v>
      </c>
      <c r="C13" s="197" t="str">
        <f>CalcB!$P$22</f>
        <v>Canada</v>
      </c>
      <c r="D13" s="198">
        <f>INDEX(Groups!$C$7:$C$65,MATCH(E13,Groups!$D$7:$D$65,0))</f>
        <v>65</v>
      </c>
      <c r="E13" s="197" t="str">
        <f>CalcB!$Q$22</f>
        <v>Bosnië/Herzeg.</v>
      </c>
      <c r="F13" s="199" t="str">
        <f>CalcB!$R$22</f>
        <v/>
      </c>
      <c r="G13" s="200" t="str">
        <f>CalcB!$S$22</f>
        <v/>
      </c>
      <c r="I13" s="196">
        <f t="shared" si="0"/>
        <v>30</v>
      </c>
      <c r="J13" s="197" t="str">
        <f t="shared" ref="J13:J18" si="6">$C13</f>
        <v>Canada</v>
      </c>
      <c r="K13" s="198">
        <f t="shared" si="1"/>
        <v>65</v>
      </c>
      <c r="L13" s="197" t="str">
        <f t="shared" ref="L13:L18" si="7">$E13</f>
        <v>Bosnië/Herzeg.</v>
      </c>
      <c r="M13" s="232"/>
      <c r="N13" s="232"/>
      <c r="O13" s="227"/>
      <c r="P13" s="198" t="str">
        <f t="shared" ref="P13:P18" si="8">IF(($F13&lt;&gt;"")*($G13&lt;&gt;"")*(M13&lt;&gt;"")*(N13&lt;&gt;""),($F13&gt;$G13)*(M13&gt;N13)+($F13=$G13)*(M13=N13)+($F13&lt;$G13)*(M13&lt;N13),"")</f>
        <v/>
      </c>
      <c r="Q13" s="198" t="str">
        <f>IF((P13&lt;&gt;""),IF(OR($F13&lt;&gt;$G13,PrSettings!$M$4="●"),(($F13-$G13)=(M13-N13))*1,0),"")</f>
        <v/>
      </c>
      <c r="R13" s="198" t="str">
        <f t="shared" ref="R13:R18" si="9">IF((P13&lt;&gt;""),($F13=M13)*($G13=N13),"")</f>
        <v/>
      </c>
      <c r="S13" s="198" t="str">
        <f>IF(P13&lt;&gt;"",IF(ABS($F13-$G13)&gt;=PrSettings!$M$7,(ABS($F13-$G13-M13+N13)&lt;=1)*1,IF(AND(P13,$F13=$G13,$F13&gt;=PrSettings!$M$6),(ABS(M13-$F13)&lt;=1)*1,IF(AND(P13,$F13+$G13&gt;=PrSettings!$M$8),(ABS(M13-$F13)+ABS(N13-$G13)&lt;=1)*1,""))),"")</f>
        <v/>
      </c>
      <c r="T13" s="988"/>
      <c r="U13" s="965"/>
      <c r="V13" s="966"/>
      <c r="W13" s="973"/>
      <c r="X13" s="966"/>
      <c r="Y13" s="973"/>
      <c r="Z13" s="978"/>
      <c r="AA13" s="978"/>
      <c r="AB13" s="966"/>
      <c r="AC13" s="966"/>
      <c r="AD13" s="966"/>
      <c r="AE13" s="966"/>
      <c r="AF13" s="966"/>
      <c r="AG13" s="966"/>
      <c r="AH13" s="965"/>
      <c r="AI13" s="966"/>
      <c r="AJ13" s="973"/>
      <c r="AK13" s="966"/>
      <c r="AL13" s="973"/>
      <c r="AM13" s="978"/>
      <c r="AN13" s="978"/>
      <c r="AO13" s="966"/>
      <c r="AP13" s="966"/>
      <c r="AQ13" s="966"/>
      <c r="AR13" s="966"/>
      <c r="AS13" s="966"/>
      <c r="AT13" s="966"/>
      <c r="AU13" s="965"/>
      <c r="AV13" s="966"/>
      <c r="AW13" s="973"/>
      <c r="AX13" s="966"/>
      <c r="AY13" s="973"/>
      <c r="AZ13" s="978"/>
      <c r="BA13" s="978"/>
      <c r="BB13" s="966"/>
      <c r="BC13" s="966"/>
      <c r="BD13" s="966"/>
      <c r="BE13" s="966"/>
      <c r="BF13" s="966"/>
      <c r="BG13" s="966"/>
      <c r="BH13" s="965"/>
      <c r="BI13" s="966"/>
      <c r="BJ13" s="973"/>
      <c r="BK13" s="966"/>
      <c r="BL13" s="973"/>
      <c r="BM13" s="978"/>
      <c r="BN13" s="978"/>
      <c r="BO13" s="966"/>
      <c r="BP13" s="966"/>
      <c r="BQ13" s="966"/>
      <c r="BR13" s="966"/>
      <c r="BS13" s="966"/>
      <c r="BT13" s="966"/>
      <c r="BU13" s="965"/>
      <c r="BV13" s="966"/>
      <c r="BW13" s="973"/>
      <c r="BX13" s="966"/>
      <c r="BY13" s="973"/>
      <c r="BZ13" s="978"/>
      <c r="CA13" s="978"/>
      <c r="CB13" s="966"/>
      <c r="CC13" s="966"/>
      <c r="CD13" s="966"/>
      <c r="CE13" s="966"/>
      <c r="CF13" s="966"/>
      <c r="CG13" s="966"/>
      <c r="CH13" s="965"/>
      <c r="CI13" s="966"/>
      <c r="CJ13" s="973"/>
      <c r="CK13" s="966"/>
      <c r="CL13" s="973"/>
      <c r="CM13" s="978"/>
      <c r="CN13" s="978"/>
      <c r="CO13" s="966"/>
      <c r="CP13" s="966"/>
      <c r="CQ13" s="966"/>
      <c r="CR13" s="966"/>
      <c r="CS13" s="966"/>
      <c r="CT13" s="966"/>
      <c r="CU13" s="965"/>
      <c r="CV13" s="966"/>
      <c r="CW13" s="973"/>
      <c r="CX13" s="966"/>
      <c r="CY13" s="973"/>
      <c r="CZ13" s="978"/>
      <c r="DA13" s="978"/>
      <c r="DB13" s="966"/>
      <c r="DC13" s="966"/>
      <c r="DD13" s="966"/>
      <c r="DE13" s="966"/>
      <c r="DF13" s="966"/>
      <c r="DG13" s="966"/>
      <c r="DH13" s="965"/>
      <c r="DI13" s="966"/>
      <c r="DJ13" s="973"/>
      <c r="DK13" s="966"/>
      <c r="DL13" s="973"/>
      <c r="DM13" s="978"/>
      <c r="DN13" s="978"/>
      <c r="DO13" s="966"/>
      <c r="DP13" s="966"/>
      <c r="DQ13" s="966"/>
      <c r="DR13" s="966"/>
      <c r="DS13" s="966"/>
      <c r="DT13" s="966"/>
      <c r="DU13" s="965"/>
      <c r="DV13" s="966"/>
      <c r="DW13" s="973"/>
      <c r="DX13" s="966"/>
      <c r="DY13" s="973"/>
      <c r="DZ13" s="978"/>
      <c r="EA13" s="978"/>
      <c r="EB13" s="966"/>
      <c r="EC13" s="966"/>
      <c r="ED13" s="966"/>
      <c r="EE13" s="966"/>
      <c r="EF13" s="966"/>
      <c r="EG13" s="966"/>
      <c r="EH13" s="965"/>
      <c r="EI13" s="966"/>
      <c r="EJ13" s="973"/>
      <c r="EK13" s="966"/>
      <c r="EL13" s="973"/>
      <c r="EM13" s="978"/>
      <c r="EN13" s="978"/>
      <c r="EO13" s="966"/>
      <c r="EP13" s="966"/>
      <c r="EQ13" s="966"/>
      <c r="ER13" s="966"/>
      <c r="ES13" s="966"/>
      <c r="ET13" s="966"/>
      <c r="EU13" s="965"/>
      <c r="EV13" s="966"/>
      <c r="EW13" s="973"/>
      <c r="EX13" s="966"/>
      <c r="EY13" s="973"/>
      <c r="EZ13" s="978"/>
      <c r="FA13" s="978"/>
      <c r="FB13" s="966"/>
      <c r="FC13" s="966"/>
      <c r="FD13" s="966"/>
      <c r="FE13" s="966"/>
      <c r="FF13" s="966"/>
      <c r="FG13" s="966"/>
      <c r="FH13" s="965"/>
      <c r="FI13" s="966"/>
      <c r="FJ13" s="973"/>
      <c r="FK13" s="966"/>
      <c r="FL13" s="973"/>
      <c r="FM13" s="978"/>
      <c r="FN13" s="978"/>
      <c r="FO13" s="966"/>
      <c r="FP13" s="966"/>
      <c r="FQ13" s="966"/>
      <c r="FR13" s="966"/>
      <c r="FS13" s="966"/>
      <c r="FT13" s="966"/>
      <c r="FU13" s="965"/>
      <c r="FV13" s="966"/>
      <c r="FW13" s="973"/>
      <c r="FX13" s="966"/>
      <c r="FY13" s="973"/>
      <c r="FZ13" s="978"/>
      <c r="GA13" s="978"/>
      <c r="GB13" s="966"/>
      <c r="GC13" s="966"/>
      <c r="GD13" s="966"/>
      <c r="GE13" s="966"/>
      <c r="GF13" s="966"/>
      <c r="GG13" s="966"/>
      <c r="GH13" s="965"/>
      <c r="GI13" s="966"/>
      <c r="GJ13" s="973"/>
      <c r="GK13" s="966"/>
      <c r="GL13" s="973"/>
      <c r="GM13" s="978"/>
      <c r="GN13" s="978"/>
      <c r="GO13" s="966"/>
      <c r="GP13" s="966"/>
      <c r="GQ13" s="966"/>
      <c r="GR13" s="966"/>
      <c r="GS13" s="966"/>
      <c r="GT13" s="966"/>
      <c r="GU13" s="965"/>
      <c r="GV13" s="966"/>
      <c r="GW13" s="973"/>
      <c r="GX13" s="966"/>
      <c r="GY13" s="973"/>
      <c r="GZ13" s="978"/>
      <c r="HA13" s="978"/>
      <c r="HB13" s="966"/>
      <c r="HC13" s="966"/>
      <c r="HD13" s="966"/>
      <c r="HE13" s="966"/>
      <c r="HF13" s="966"/>
      <c r="HG13" s="966"/>
      <c r="HH13" s="965"/>
      <c r="HI13" s="966"/>
      <c r="HJ13" s="973"/>
      <c r="HK13" s="966"/>
      <c r="HL13" s="973"/>
      <c r="HM13" s="978"/>
      <c r="HN13" s="978"/>
      <c r="HO13" s="966"/>
      <c r="HP13" s="966"/>
      <c r="HQ13" s="966"/>
      <c r="HR13" s="966"/>
      <c r="HS13" s="966"/>
      <c r="HT13" s="966"/>
      <c r="HU13" s="965"/>
      <c r="HV13" s="966"/>
      <c r="HW13" s="973"/>
      <c r="HX13" s="966"/>
      <c r="HY13" s="973"/>
      <c r="HZ13" s="978"/>
      <c r="IA13" s="978"/>
      <c r="IB13" s="966"/>
      <c r="IC13" s="966"/>
      <c r="ID13" s="966"/>
      <c r="IE13" s="966"/>
      <c r="IF13" s="966"/>
      <c r="IG13" s="966"/>
      <c r="IH13" s="965"/>
      <c r="II13" s="966"/>
      <c r="IJ13" s="973"/>
      <c r="IK13" s="966"/>
      <c r="IL13" s="973"/>
      <c r="IM13" s="978"/>
      <c r="IN13" s="978"/>
      <c r="IO13" s="966"/>
      <c r="IP13" s="966"/>
      <c r="IQ13" s="966"/>
      <c r="IR13" s="966"/>
      <c r="IS13" s="966"/>
      <c r="IT13" s="966"/>
      <c r="IU13" s="965"/>
      <c r="IV13" s="966"/>
      <c r="IW13" s="973"/>
      <c r="IX13" s="966"/>
      <c r="IY13" s="973"/>
      <c r="IZ13" s="978"/>
      <c r="JA13" s="978"/>
      <c r="JB13" s="966"/>
      <c r="JC13" s="966"/>
      <c r="JD13" s="966"/>
      <c r="JE13" s="966"/>
      <c r="JF13" s="966"/>
      <c r="JG13" s="966"/>
      <c r="JH13" s="965"/>
      <c r="JI13" s="966"/>
      <c r="JJ13" s="973"/>
      <c r="JK13" s="966"/>
      <c r="JL13" s="973"/>
      <c r="JM13" s="978"/>
      <c r="JN13" s="978"/>
      <c r="JO13" s="966"/>
      <c r="JP13" s="966"/>
      <c r="JQ13" s="966"/>
      <c r="JR13" s="966"/>
      <c r="JS13" s="966"/>
      <c r="JT13" s="966"/>
      <c r="JU13" s="965"/>
      <c r="JV13" s="966"/>
      <c r="JW13" s="973"/>
      <c r="JX13" s="966"/>
      <c r="JY13" s="973"/>
      <c r="JZ13" s="978"/>
      <c r="KA13" s="978"/>
      <c r="KB13" s="966"/>
      <c r="KC13" s="966"/>
      <c r="KD13" s="966"/>
      <c r="KE13" s="966"/>
      <c r="KF13" s="966"/>
      <c r="KG13" s="966"/>
      <c r="KH13" s="965"/>
      <c r="KI13" s="966"/>
      <c r="KJ13" s="973"/>
      <c r="KK13" s="966"/>
      <c r="KL13" s="973"/>
      <c r="KM13" s="978"/>
      <c r="KN13" s="978"/>
      <c r="KO13" s="966"/>
      <c r="KP13" s="966"/>
      <c r="KQ13" s="966"/>
      <c r="KR13" s="966"/>
      <c r="KS13" s="966"/>
      <c r="KT13" s="966"/>
      <c r="KU13" s="965"/>
      <c r="KV13" s="966"/>
      <c r="KW13" s="973"/>
      <c r="KX13" s="966"/>
      <c r="KY13" s="973"/>
      <c r="KZ13" s="978"/>
      <c r="LA13" s="978"/>
      <c r="LB13" s="966"/>
      <c r="LC13" s="966"/>
      <c r="LD13" s="966"/>
      <c r="LE13" s="966"/>
      <c r="LF13" s="966"/>
      <c r="LG13" s="966"/>
      <c r="LH13" s="965"/>
      <c r="LI13" s="966"/>
      <c r="LJ13" s="973"/>
      <c r="LK13" s="966"/>
      <c r="LL13" s="973"/>
      <c r="LM13" s="978"/>
      <c r="LN13" s="978"/>
      <c r="LO13" s="966"/>
      <c r="LP13" s="966"/>
      <c r="LQ13" s="966"/>
      <c r="LR13" s="966"/>
      <c r="LS13" s="966"/>
      <c r="LT13" s="966"/>
      <c r="LU13" s="965"/>
      <c r="LV13" s="966"/>
      <c r="LW13" s="973"/>
      <c r="LX13" s="966"/>
      <c r="LY13" s="973"/>
      <c r="LZ13" s="978"/>
      <c r="MA13" s="978"/>
      <c r="MB13" s="966"/>
      <c r="MC13" s="966"/>
      <c r="MD13" s="966"/>
      <c r="ME13" s="966"/>
      <c r="MF13" s="966"/>
      <c r="MG13" s="966"/>
    </row>
    <row r="14" spans="1:345">
      <c r="B14" s="196">
        <f>INDEX(Groups!$C$7:$C$65,MATCH(C14,Groups!$D$7:$D$65,0))</f>
        <v>55</v>
      </c>
      <c r="C14" s="197" t="str">
        <f>CalcB!$P$23</f>
        <v>Qatar</v>
      </c>
      <c r="D14" s="198">
        <f>INDEX(Groups!$C$7:$C$65,MATCH(E14,Groups!$D$7:$D$65,0))</f>
        <v>19</v>
      </c>
      <c r="E14" s="197" t="str">
        <f>CalcB!$Q$23</f>
        <v>Zwitserland</v>
      </c>
      <c r="F14" s="725" t="str">
        <f>CalcB!$R$23</f>
        <v/>
      </c>
      <c r="G14" s="200" t="str">
        <f>CalcB!$S$23</f>
        <v/>
      </c>
      <c r="I14" s="196">
        <f t="shared" si="0"/>
        <v>55</v>
      </c>
      <c r="J14" s="197" t="str">
        <f t="shared" si="6"/>
        <v>Qatar</v>
      </c>
      <c r="K14" s="198">
        <f t="shared" si="1"/>
        <v>19</v>
      </c>
      <c r="L14" s="197" t="str">
        <f t="shared" si="7"/>
        <v>Zwitserland</v>
      </c>
      <c r="M14" s="232"/>
      <c r="N14" s="232"/>
      <c r="O14" s="228"/>
      <c r="P14" s="198" t="str">
        <f t="shared" si="8"/>
        <v/>
      </c>
      <c r="Q14" s="198" t="str">
        <f>IF((P14&lt;&gt;""),IF(OR($F14&lt;&gt;$G14,PrSettings!$M$4="●"),(($F14-$G14)=(M14-N14))*1,0),"")</f>
        <v/>
      </c>
      <c r="R14" s="198" t="str">
        <f t="shared" si="9"/>
        <v/>
      </c>
      <c r="S14" s="198" t="str">
        <f>IF(P14&lt;&gt;"",IF(ABS($F14-$G14)&gt;=PrSettings!$M$7,(ABS($F14-$G14-M14+N14)&lt;=1)*1,IF(AND(P14,$F14=$G14,$F14&gt;=PrSettings!$M$6),(ABS(M14-$F14)&lt;=1)*1,IF(AND(P14,$F14+$G14&gt;=PrSettings!$M$8),(ABS(M14-$F14)+ABS(N14-$G14)&lt;=1)*1,""))),"")</f>
        <v/>
      </c>
      <c r="T14" s="989"/>
      <c r="U14" s="965"/>
      <c r="V14" s="966"/>
      <c r="W14" s="973"/>
      <c r="X14" s="966"/>
      <c r="Y14" s="973"/>
      <c r="Z14" s="978"/>
      <c r="AA14" s="978"/>
      <c r="AB14" s="966"/>
      <c r="AC14" s="966"/>
      <c r="AD14" s="966"/>
      <c r="AE14" s="966"/>
      <c r="AF14" s="966"/>
      <c r="AG14" s="966"/>
      <c r="AH14" s="965"/>
      <c r="AI14" s="966"/>
      <c r="AJ14" s="973"/>
      <c r="AK14" s="966"/>
      <c r="AL14" s="973"/>
      <c r="AM14" s="978"/>
      <c r="AN14" s="978"/>
      <c r="AO14" s="966"/>
      <c r="AP14" s="966"/>
      <c r="AQ14" s="966"/>
      <c r="AR14" s="966"/>
      <c r="AS14" s="966"/>
      <c r="AT14" s="966"/>
      <c r="AU14" s="965"/>
      <c r="AV14" s="966"/>
      <c r="AW14" s="973"/>
      <c r="AX14" s="966"/>
      <c r="AY14" s="973"/>
      <c r="AZ14" s="978"/>
      <c r="BA14" s="978"/>
      <c r="BB14" s="966"/>
      <c r="BC14" s="966"/>
      <c r="BD14" s="966"/>
      <c r="BE14" s="966"/>
      <c r="BF14" s="966"/>
      <c r="BG14" s="966"/>
      <c r="BH14" s="965"/>
      <c r="BI14" s="966"/>
      <c r="BJ14" s="973"/>
      <c r="BK14" s="966"/>
      <c r="BL14" s="973"/>
      <c r="BM14" s="978"/>
      <c r="BN14" s="978"/>
      <c r="BO14" s="966"/>
      <c r="BP14" s="966"/>
      <c r="BQ14" s="966"/>
      <c r="BR14" s="966"/>
      <c r="BS14" s="966"/>
      <c r="BT14" s="966"/>
      <c r="BU14" s="965"/>
      <c r="BV14" s="966"/>
      <c r="BW14" s="973"/>
      <c r="BX14" s="966"/>
      <c r="BY14" s="973"/>
      <c r="BZ14" s="978"/>
      <c r="CA14" s="978"/>
      <c r="CB14" s="966"/>
      <c r="CC14" s="966"/>
      <c r="CD14" s="966"/>
      <c r="CE14" s="966"/>
      <c r="CF14" s="966"/>
      <c r="CG14" s="966"/>
      <c r="CH14" s="965"/>
      <c r="CI14" s="966"/>
      <c r="CJ14" s="973"/>
      <c r="CK14" s="966"/>
      <c r="CL14" s="973"/>
      <c r="CM14" s="978"/>
      <c r="CN14" s="978"/>
      <c r="CO14" s="966"/>
      <c r="CP14" s="966"/>
      <c r="CQ14" s="966"/>
      <c r="CR14" s="966"/>
      <c r="CS14" s="966"/>
      <c r="CT14" s="966"/>
      <c r="CU14" s="965"/>
      <c r="CV14" s="966"/>
      <c r="CW14" s="973"/>
      <c r="CX14" s="966"/>
      <c r="CY14" s="973"/>
      <c r="CZ14" s="978"/>
      <c r="DA14" s="978"/>
      <c r="DB14" s="966"/>
      <c r="DC14" s="966"/>
      <c r="DD14" s="966"/>
      <c r="DE14" s="966"/>
      <c r="DF14" s="966"/>
      <c r="DG14" s="966"/>
      <c r="DH14" s="965"/>
      <c r="DI14" s="966"/>
      <c r="DJ14" s="973"/>
      <c r="DK14" s="966"/>
      <c r="DL14" s="973"/>
      <c r="DM14" s="978"/>
      <c r="DN14" s="978"/>
      <c r="DO14" s="966"/>
      <c r="DP14" s="966"/>
      <c r="DQ14" s="966"/>
      <c r="DR14" s="966"/>
      <c r="DS14" s="966"/>
      <c r="DT14" s="966"/>
      <c r="DU14" s="965"/>
      <c r="DV14" s="966"/>
      <c r="DW14" s="973"/>
      <c r="DX14" s="966"/>
      <c r="DY14" s="973"/>
      <c r="DZ14" s="978"/>
      <c r="EA14" s="978"/>
      <c r="EB14" s="966"/>
      <c r="EC14" s="966"/>
      <c r="ED14" s="966"/>
      <c r="EE14" s="966"/>
      <c r="EF14" s="966"/>
      <c r="EG14" s="966"/>
      <c r="EH14" s="965"/>
      <c r="EI14" s="966"/>
      <c r="EJ14" s="973"/>
      <c r="EK14" s="966"/>
      <c r="EL14" s="973"/>
      <c r="EM14" s="978"/>
      <c r="EN14" s="978"/>
      <c r="EO14" s="966"/>
      <c r="EP14" s="966"/>
      <c r="EQ14" s="966"/>
      <c r="ER14" s="966"/>
      <c r="ES14" s="966"/>
      <c r="ET14" s="966"/>
      <c r="EU14" s="965"/>
      <c r="EV14" s="966"/>
      <c r="EW14" s="973"/>
      <c r="EX14" s="966"/>
      <c r="EY14" s="973"/>
      <c r="EZ14" s="978"/>
      <c r="FA14" s="978"/>
      <c r="FB14" s="966"/>
      <c r="FC14" s="966"/>
      <c r="FD14" s="966"/>
      <c r="FE14" s="966"/>
      <c r="FF14" s="966"/>
      <c r="FG14" s="966"/>
      <c r="FH14" s="965"/>
      <c r="FI14" s="966"/>
      <c r="FJ14" s="973"/>
      <c r="FK14" s="966"/>
      <c r="FL14" s="973"/>
      <c r="FM14" s="978"/>
      <c r="FN14" s="978"/>
      <c r="FO14" s="966"/>
      <c r="FP14" s="966"/>
      <c r="FQ14" s="966"/>
      <c r="FR14" s="966"/>
      <c r="FS14" s="966"/>
      <c r="FT14" s="966"/>
      <c r="FU14" s="965"/>
      <c r="FV14" s="966"/>
      <c r="FW14" s="973"/>
      <c r="FX14" s="966"/>
      <c r="FY14" s="973"/>
      <c r="FZ14" s="978"/>
      <c r="GA14" s="978"/>
      <c r="GB14" s="966"/>
      <c r="GC14" s="966"/>
      <c r="GD14" s="966"/>
      <c r="GE14" s="966"/>
      <c r="GF14" s="966"/>
      <c r="GG14" s="966"/>
      <c r="GH14" s="965"/>
      <c r="GI14" s="966"/>
      <c r="GJ14" s="973"/>
      <c r="GK14" s="966"/>
      <c r="GL14" s="973"/>
      <c r="GM14" s="978"/>
      <c r="GN14" s="978"/>
      <c r="GO14" s="966"/>
      <c r="GP14" s="966"/>
      <c r="GQ14" s="966"/>
      <c r="GR14" s="966"/>
      <c r="GS14" s="966"/>
      <c r="GT14" s="966"/>
      <c r="GU14" s="965"/>
      <c r="GV14" s="966"/>
      <c r="GW14" s="973"/>
      <c r="GX14" s="966"/>
      <c r="GY14" s="973"/>
      <c r="GZ14" s="978"/>
      <c r="HA14" s="978"/>
      <c r="HB14" s="966"/>
      <c r="HC14" s="966"/>
      <c r="HD14" s="966"/>
      <c r="HE14" s="966"/>
      <c r="HF14" s="966"/>
      <c r="HG14" s="966"/>
      <c r="HH14" s="965"/>
      <c r="HI14" s="966"/>
      <c r="HJ14" s="973"/>
      <c r="HK14" s="966"/>
      <c r="HL14" s="973"/>
      <c r="HM14" s="978"/>
      <c r="HN14" s="978"/>
      <c r="HO14" s="966"/>
      <c r="HP14" s="966"/>
      <c r="HQ14" s="966"/>
      <c r="HR14" s="966"/>
      <c r="HS14" s="966"/>
      <c r="HT14" s="966"/>
      <c r="HU14" s="965"/>
      <c r="HV14" s="966"/>
      <c r="HW14" s="973"/>
      <c r="HX14" s="966"/>
      <c r="HY14" s="973"/>
      <c r="HZ14" s="978"/>
      <c r="IA14" s="978"/>
      <c r="IB14" s="966"/>
      <c r="IC14" s="966"/>
      <c r="ID14" s="966"/>
      <c r="IE14" s="966"/>
      <c r="IF14" s="966"/>
      <c r="IG14" s="966"/>
      <c r="IH14" s="965"/>
      <c r="II14" s="966"/>
      <c r="IJ14" s="973"/>
      <c r="IK14" s="966"/>
      <c r="IL14" s="973"/>
      <c r="IM14" s="978"/>
      <c r="IN14" s="978"/>
      <c r="IO14" s="966"/>
      <c r="IP14" s="966"/>
      <c r="IQ14" s="966"/>
      <c r="IR14" s="966"/>
      <c r="IS14" s="966"/>
      <c r="IT14" s="966"/>
      <c r="IU14" s="965"/>
      <c r="IV14" s="966"/>
      <c r="IW14" s="973"/>
      <c r="IX14" s="966"/>
      <c r="IY14" s="973"/>
      <c r="IZ14" s="978"/>
      <c r="JA14" s="978"/>
      <c r="JB14" s="966"/>
      <c r="JC14" s="966"/>
      <c r="JD14" s="966"/>
      <c r="JE14" s="966"/>
      <c r="JF14" s="966"/>
      <c r="JG14" s="966"/>
      <c r="JH14" s="965"/>
      <c r="JI14" s="966"/>
      <c r="JJ14" s="973"/>
      <c r="JK14" s="966"/>
      <c r="JL14" s="973"/>
      <c r="JM14" s="978"/>
      <c r="JN14" s="978"/>
      <c r="JO14" s="966"/>
      <c r="JP14" s="966"/>
      <c r="JQ14" s="966"/>
      <c r="JR14" s="966"/>
      <c r="JS14" s="966"/>
      <c r="JT14" s="966"/>
      <c r="JU14" s="965"/>
      <c r="JV14" s="966"/>
      <c r="JW14" s="973"/>
      <c r="JX14" s="966"/>
      <c r="JY14" s="973"/>
      <c r="JZ14" s="978"/>
      <c r="KA14" s="978"/>
      <c r="KB14" s="966"/>
      <c r="KC14" s="966"/>
      <c r="KD14" s="966"/>
      <c r="KE14" s="966"/>
      <c r="KF14" s="966"/>
      <c r="KG14" s="966"/>
      <c r="KH14" s="965"/>
      <c r="KI14" s="966"/>
      <c r="KJ14" s="973"/>
      <c r="KK14" s="966"/>
      <c r="KL14" s="973"/>
      <c r="KM14" s="978"/>
      <c r="KN14" s="978"/>
      <c r="KO14" s="966"/>
      <c r="KP14" s="966"/>
      <c r="KQ14" s="966"/>
      <c r="KR14" s="966"/>
      <c r="KS14" s="966"/>
      <c r="KT14" s="966"/>
      <c r="KU14" s="965"/>
      <c r="KV14" s="966"/>
      <c r="KW14" s="973"/>
      <c r="KX14" s="966"/>
      <c r="KY14" s="973"/>
      <c r="KZ14" s="978"/>
      <c r="LA14" s="978"/>
      <c r="LB14" s="966"/>
      <c r="LC14" s="966"/>
      <c r="LD14" s="966"/>
      <c r="LE14" s="966"/>
      <c r="LF14" s="966"/>
      <c r="LG14" s="966"/>
      <c r="LH14" s="965"/>
      <c r="LI14" s="966"/>
      <c r="LJ14" s="973"/>
      <c r="LK14" s="966"/>
      <c r="LL14" s="973"/>
      <c r="LM14" s="978"/>
      <c r="LN14" s="978"/>
      <c r="LO14" s="966"/>
      <c r="LP14" s="966"/>
      <c r="LQ14" s="966"/>
      <c r="LR14" s="966"/>
      <c r="LS14" s="966"/>
      <c r="LT14" s="966"/>
      <c r="LU14" s="965"/>
      <c r="LV14" s="966"/>
      <c r="LW14" s="973"/>
      <c r="LX14" s="966"/>
      <c r="LY14" s="973"/>
      <c r="LZ14" s="978"/>
      <c r="MA14" s="978"/>
      <c r="MB14" s="966"/>
      <c r="MC14" s="966"/>
      <c r="MD14" s="966"/>
      <c r="ME14" s="966"/>
      <c r="MF14" s="966"/>
      <c r="MG14" s="966"/>
    </row>
    <row r="15" spans="1:345">
      <c r="B15" s="196">
        <f>INDEX(Groups!$C$7:$C$65,MATCH(C15,Groups!$D$7:$D$65,0))</f>
        <v>19</v>
      </c>
      <c r="C15" s="197" t="str">
        <f>CalcB!$P$24</f>
        <v>Zwitserland</v>
      </c>
      <c r="D15" s="198">
        <f>INDEX(Groups!$C$7:$C$65,MATCH(E15,Groups!$D$7:$D$65,0))</f>
        <v>65</v>
      </c>
      <c r="E15" s="197" t="str">
        <f>CalcB!$Q$24</f>
        <v>Bosnië/Herzeg.</v>
      </c>
      <c r="F15" s="199" t="str">
        <f>CalcB!$R$24</f>
        <v/>
      </c>
      <c r="G15" s="200" t="str">
        <f>CalcB!$S$24</f>
        <v/>
      </c>
      <c r="I15" s="196">
        <f t="shared" si="0"/>
        <v>19</v>
      </c>
      <c r="J15" s="197" t="str">
        <f t="shared" si="6"/>
        <v>Zwitserland</v>
      </c>
      <c r="K15" s="198">
        <f t="shared" si="1"/>
        <v>65</v>
      </c>
      <c r="L15" s="197" t="str">
        <f t="shared" si="7"/>
        <v>Bosnië/Herzeg.</v>
      </c>
      <c r="M15" s="232"/>
      <c r="N15" s="232"/>
      <c r="O15" s="228"/>
      <c r="P15" s="198" t="str">
        <f t="shared" si="8"/>
        <v/>
      </c>
      <c r="Q15" s="198" t="str">
        <f>IF((P15&lt;&gt;""),IF(OR($F15&lt;&gt;$G15,PrSettings!$M$4="●"),(($F15-$G15)=(M15-N15))*1,0),"")</f>
        <v/>
      </c>
      <c r="R15" s="198" t="str">
        <f t="shared" si="9"/>
        <v/>
      </c>
      <c r="S15" s="198" t="str">
        <f>IF(P15&lt;&gt;"",IF(ABS($F15-$G15)&gt;=PrSettings!$M$7,(ABS($F15-$G15-M15+N15)&lt;=1)*1,IF(AND(P15,$F15=$G15,$F15&gt;=PrSettings!$M$6),(ABS(M15-$F15)&lt;=1)*1,IF(AND(P15,$F15+$G15&gt;=PrSettings!$M$8),(ABS(M15-$F15)+ABS(N15-$G15)&lt;=1)*1,""))),"")</f>
        <v/>
      </c>
      <c r="T15" s="989"/>
      <c r="U15" s="965"/>
      <c r="V15" s="966"/>
      <c r="W15" s="973"/>
      <c r="X15" s="966"/>
      <c r="Y15" s="973"/>
      <c r="Z15" s="978"/>
      <c r="AA15" s="978"/>
      <c r="AB15" s="966"/>
      <c r="AC15" s="966"/>
      <c r="AD15" s="966"/>
      <c r="AE15" s="966"/>
      <c r="AF15" s="966"/>
      <c r="AG15" s="966"/>
      <c r="AH15" s="965"/>
      <c r="AI15" s="966"/>
      <c r="AJ15" s="973"/>
      <c r="AK15" s="966"/>
      <c r="AL15" s="973"/>
      <c r="AM15" s="978"/>
      <c r="AN15" s="978"/>
      <c r="AO15" s="966"/>
      <c r="AP15" s="966"/>
      <c r="AQ15" s="966"/>
      <c r="AR15" s="966"/>
      <c r="AS15" s="966"/>
      <c r="AT15" s="966"/>
      <c r="AU15" s="965"/>
      <c r="AV15" s="966"/>
      <c r="AW15" s="973"/>
      <c r="AX15" s="966"/>
      <c r="AY15" s="973"/>
      <c r="AZ15" s="978"/>
      <c r="BA15" s="978"/>
      <c r="BB15" s="966"/>
      <c r="BC15" s="966"/>
      <c r="BD15" s="966"/>
      <c r="BE15" s="966"/>
      <c r="BF15" s="966"/>
      <c r="BG15" s="966"/>
      <c r="BH15" s="965"/>
      <c r="BI15" s="966"/>
      <c r="BJ15" s="973"/>
      <c r="BK15" s="966"/>
      <c r="BL15" s="973"/>
      <c r="BM15" s="978"/>
      <c r="BN15" s="978"/>
      <c r="BO15" s="966"/>
      <c r="BP15" s="966"/>
      <c r="BQ15" s="966"/>
      <c r="BR15" s="966"/>
      <c r="BS15" s="966"/>
      <c r="BT15" s="966"/>
      <c r="BU15" s="965"/>
      <c r="BV15" s="966"/>
      <c r="BW15" s="973"/>
      <c r="BX15" s="966"/>
      <c r="BY15" s="973"/>
      <c r="BZ15" s="978"/>
      <c r="CA15" s="978"/>
      <c r="CB15" s="966"/>
      <c r="CC15" s="966"/>
      <c r="CD15" s="966"/>
      <c r="CE15" s="966"/>
      <c r="CF15" s="966"/>
      <c r="CG15" s="966"/>
      <c r="CH15" s="965"/>
      <c r="CI15" s="966"/>
      <c r="CJ15" s="973"/>
      <c r="CK15" s="966"/>
      <c r="CL15" s="973"/>
      <c r="CM15" s="978"/>
      <c r="CN15" s="978"/>
      <c r="CO15" s="966"/>
      <c r="CP15" s="966"/>
      <c r="CQ15" s="966"/>
      <c r="CR15" s="966"/>
      <c r="CS15" s="966"/>
      <c r="CT15" s="966"/>
      <c r="CU15" s="965"/>
      <c r="CV15" s="966"/>
      <c r="CW15" s="973"/>
      <c r="CX15" s="966"/>
      <c r="CY15" s="973"/>
      <c r="CZ15" s="978"/>
      <c r="DA15" s="978"/>
      <c r="DB15" s="966"/>
      <c r="DC15" s="966"/>
      <c r="DD15" s="966"/>
      <c r="DE15" s="966"/>
      <c r="DF15" s="966"/>
      <c r="DG15" s="966"/>
      <c r="DH15" s="965"/>
      <c r="DI15" s="966"/>
      <c r="DJ15" s="973"/>
      <c r="DK15" s="966"/>
      <c r="DL15" s="973"/>
      <c r="DM15" s="978"/>
      <c r="DN15" s="978"/>
      <c r="DO15" s="966"/>
      <c r="DP15" s="966"/>
      <c r="DQ15" s="966"/>
      <c r="DR15" s="966"/>
      <c r="DS15" s="966"/>
      <c r="DT15" s="966"/>
      <c r="DU15" s="965"/>
      <c r="DV15" s="966"/>
      <c r="DW15" s="973"/>
      <c r="DX15" s="966"/>
      <c r="DY15" s="973"/>
      <c r="DZ15" s="978"/>
      <c r="EA15" s="978"/>
      <c r="EB15" s="966"/>
      <c r="EC15" s="966"/>
      <c r="ED15" s="966"/>
      <c r="EE15" s="966"/>
      <c r="EF15" s="966"/>
      <c r="EG15" s="966"/>
      <c r="EH15" s="965"/>
      <c r="EI15" s="966"/>
      <c r="EJ15" s="973"/>
      <c r="EK15" s="966"/>
      <c r="EL15" s="973"/>
      <c r="EM15" s="978"/>
      <c r="EN15" s="978"/>
      <c r="EO15" s="966"/>
      <c r="EP15" s="966"/>
      <c r="EQ15" s="966"/>
      <c r="ER15" s="966"/>
      <c r="ES15" s="966"/>
      <c r="ET15" s="966"/>
      <c r="EU15" s="965"/>
      <c r="EV15" s="966"/>
      <c r="EW15" s="973"/>
      <c r="EX15" s="966"/>
      <c r="EY15" s="973"/>
      <c r="EZ15" s="978"/>
      <c r="FA15" s="978"/>
      <c r="FB15" s="966"/>
      <c r="FC15" s="966"/>
      <c r="FD15" s="966"/>
      <c r="FE15" s="966"/>
      <c r="FF15" s="966"/>
      <c r="FG15" s="966"/>
      <c r="FH15" s="965"/>
      <c r="FI15" s="966"/>
      <c r="FJ15" s="973"/>
      <c r="FK15" s="966"/>
      <c r="FL15" s="973"/>
      <c r="FM15" s="978"/>
      <c r="FN15" s="978"/>
      <c r="FO15" s="966"/>
      <c r="FP15" s="966"/>
      <c r="FQ15" s="966"/>
      <c r="FR15" s="966"/>
      <c r="FS15" s="966"/>
      <c r="FT15" s="966"/>
      <c r="FU15" s="965"/>
      <c r="FV15" s="966"/>
      <c r="FW15" s="973"/>
      <c r="FX15" s="966"/>
      <c r="FY15" s="973"/>
      <c r="FZ15" s="978"/>
      <c r="GA15" s="978"/>
      <c r="GB15" s="966"/>
      <c r="GC15" s="966"/>
      <c r="GD15" s="966"/>
      <c r="GE15" s="966"/>
      <c r="GF15" s="966"/>
      <c r="GG15" s="966"/>
      <c r="GH15" s="965"/>
      <c r="GI15" s="966"/>
      <c r="GJ15" s="973"/>
      <c r="GK15" s="966"/>
      <c r="GL15" s="973"/>
      <c r="GM15" s="978"/>
      <c r="GN15" s="978"/>
      <c r="GO15" s="966"/>
      <c r="GP15" s="966"/>
      <c r="GQ15" s="966"/>
      <c r="GR15" s="966"/>
      <c r="GS15" s="966"/>
      <c r="GT15" s="966"/>
      <c r="GU15" s="965"/>
      <c r="GV15" s="966"/>
      <c r="GW15" s="973"/>
      <c r="GX15" s="966"/>
      <c r="GY15" s="973"/>
      <c r="GZ15" s="978"/>
      <c r="HA15" s="978"/>
      <c r="HB15" s="966"/>
      <c r="HC15" s="966"/>
      <c r="HD15" s="966"/>
      <c r="HE15" s="966"/>
      <c r="HF15" s="966"/>
      <c r="HG15" s="966"/>
      <c r="HH15" s="965"/>
      <c r="HI15" s="966"/>
      <c r="HJ15" s="973"/>
      <c r="HK15" s="966"/>
      <c r="HL15" s="973"/>
      <c r="HM15" s="978"/>
      <c r="HN15" s="978"/>
      <c r="HO15" s="966"/>
      <c r="HP15" s="966"/>
      <c r="HQ15" s="966"/>
      <c r="HR15" s="966"/>
      <c r="HS15" s="966"/>
      <c r="HT15" s="966"/>
      <c r="HU15" s="965"/>
      <c r="HV15" s="966"/>
      <c r="HW15" s="973"/>
      <c r="HX15" s="966"/>
      <c r="HY15" s="973"/>
      <c r="HZ15" s="978"/>
      <c r="IA15" s="978"/>
      <c r="IB15" s="966"/>
      <c r="IC15" s="966"/>
      <c r="ID15" s="966"/>
      <c r="IE15" s="966"/>
      <c r="IF15" s="966"/>
      <c r="IG15" s="966"/>
      <c r="IH15" s="965"/>
      <c r="II15" s="966"/>
      <c r="IJ15" s="973"/>
      <c r="IK15" s="966"/>
      <c r="IL15" s="973"/>
      <c r="IM15" s="978"/>
      <c r="IN15" s="978"/>
      <c r="IO15" s="966"/>
      <c r="IP15" s="966"/>
      <c r="IQ15" s="966"/>
      <c r="IR15" s="966"/>
      <c r="IS15" s="966"/>
      <c r="IT15" s="966"/>
      <c r="IU15" s="965"/>
      <c r="IV15" s="966"/>
      <c r="IW15" s="973"/>
      <c r="IX15" s="966"/>
      <c r="IY15" s="973"/>
      <c r="IZ15" s="978"/>
      <c r="JA15" s="978"/>
      <c r="JB15" s="966"/>
      <c r="JC15" s="966"/>
      <c r="JD15" s="966"/>
      <c r="JE15" s="966"/>
      <c r="JF15" s="966"/>
      <c r="JG15" s="966"/>
      <c r="JH15" s="965"/>
      <c r="JI15" s="966"/>
      <c r="JJ15" s="973"/>
      <c r="JK15" s="966"/>
      <c r="JL15" s="973"/>
      <c r="JM15" s="978"/>
      <c r="JN15" s="978"/>
      <c r="JO15" s="966"/>
      <c r="JP15" s="966"/>
      <c r="JQ15" s="966"/>
      <c r="JR15" s="966"/>
      <c r="JS15" s="966"/>
      <c r="JT15" s="966"/>
      <c r="JU15" s="965"/>
      <c r="JV15" s="966"/>
      <c r="JW15" s="973"/>
      <c r="JX15" s="966"/>
      <c r="JY15" s="973"/>
      <c r="JZ15" s="978"/>
      <c r="KA15" s="978"/>
      <c r="KB15" s="966"/>
      <c r="KC15" s="966"/>
      <c r="KD15" s="966"/>
      <c r="KE15" s="966"/>
      <c r="KF15" s="966"/>
      <c r="KG15" s="966"/>
      <c r="KH15" s="965"/>
      <c r="KI15" s="966"/>
      <c r="KJ15" s="973"/>
      <c r="KK15" s="966"/>
      <c r="KL15" s="973"/>
      <c r="KM15" s="978"/>
      <c r="KN15" s="978"/>
      <c r="KO15" s="966"/>
      <c r="KP15" s="966"/>
      <c r="KQ15" s="966"/>
      <c r="KR15" s="966"/>
      <c r="KS15" s="966"/>
      <c r="KT15" s="966"/>
      <c r="KU15" s="965"/>
      <c r="KV15" s="966"/>
      <c r="KW15" s="973"/>
      <c r="KX15" s="966"/>
      <c r="KY15" s="973"/>
      <c r="KZ15" s="978"/>
      <c r="LA15" s="978"/>
      <c r="LB15" s="966"/>
      <c r="LC15" s="966"/>
      <c r="LD15" s="966"/>
      <c r="LE15" s="966"/>
      <c r="LF15" s="966"/>
      <c r="LG15" s="966"/>
      <c r="LH15" s="965"/>
      <c r="LI15" s="966"/>
      <c r="LJ15" s="973"/>
      <c r="LK15" s="966"/>
      <c r="LL15" s="973"/>
      <c r="LM15" s="978"/>
      <c r="LN15" s="978"/>
      <c r="LO15" s="966"/>
      <c r="LP15" s="966"/>
      <c r="LQ15" s="966"/>
      <c r="LR15" s="966"/>
      <c r="LS15" s="966"/>
      <c r="LT15" s="966"/>
      <c r="LU15" s="965"/>
      <c r="LV15" s="966"/>
      <c r="LW15" s="973"/>
      <c r="LX15" s="966"/>
      <c r="LY15" s="973"/>
      <c r="LZ15" s="978"/>
      <c r="MA15" s="978"/>
      <c r="MB15" s="966"/>
      <c r="MC15" s="966"/>
      <c r="MD15" s="966"/>
      <c r="ME15" s="966"/>
      <c r="MF15" s="966"/>
      <c r="MG15" s="966"/>
    </row>
    <row r="16" spans="1:345">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6"/>
        <v>Canada</v>
      </c>
      <c r="K16" s="198">
        <f t="shared" si="1"/>
        <v>55</v>
      </c>
      <c r="L16" s="197" t="str">
        <f t="shared" si="7"/>
        <v>Qatar</v>
      </c>
      <c r="M16" s="232"/>
      <c r="N16" s="232"/>
      <c r="O16" s="228"/>
      <c r="P16" s="198" t="str">
        <f t="shared" si="8"/>
        <v/>
      </c>
      <c r="Q16" s="198" t="str">
        <f>IF((P16&lt;&gt;""),IF(OR($F16&lt;&gt;$G16,PrSettings!$M$4="●"),(($F16-$G16)=(M16-N16))*1,0),"")</f>
        <v/>
      </c>
      <c r="R16" s="198" t="str">
        <f t="shared" si="9"/>
        <v/>
      </c>
      <c r="S16" s="198" t="str">
        <f>IF(P16&lt;&gt;"",IF(ABS($F16-$G16)&gt;=PrSettings!$M$7,(ABS($F16-$G16-M16+N16)&lt;=1)*1,IF(AND(P16,$F16=$G16,$F16&gt;=PrSettings!$M$6),(ABS(M16-$F16)&lt;=1)*1,IF(AND(P16,$F16+$G16&gt;=PrSettings!$M$8),(ABS(M16-$F16)+ABS(N16-$G16)&lt;=1)*1,""))),"")</f>
        <v/>
      </c>
      <c r="T16" s="989"/>
      <c r="U16" s="965"/>
      <c r="V16" s="966"/>
      <c r="W16" s="973"/>
      <c r="X16" s="966"/>
      <c r="Y16" s="973"/>
      <c r="Z16" s="978"/>
      <c r="AA16" s="978"/>
      <c r="AB16" s="966"/>
      <c r="AC16" s="966"/>
      <c r="AD16" s="966"/>
      <c r="AE16" s="966"/>
      <c r="AF16" s="966"/>
      <c r="AG16" s="966"/>
      <c r="AH16" s="965"/>
      <c r="AI16" s="966"/>
      <c r="AJ16" s="973"/>
      <c r="AK16" s="966"/>
      <c r="AL16" s="973"/>
      <c r="AM16" s="978"/>
      <c r="AN16" s="978"/>
      <c r="AO16" s="966"/>
      <c r="AP16" s="966"/>
      <c r="AQ16" s="966"/>
      <c r="AR16" s="966"/>
      <c r="AS16" s="966"/>
      <c r="AT16" s="966"/>
      <c r="AU16" s="965"/>
      <c r="AV16" s="966"/>
      <c r="AW16" s="973"/>
      <c r="AX16" s="966"/>
      <c r="AY16" s="973"/>
      <c r="AZ16" s="978"/>
      <c r="BA16" s="978"/>
      <c r="BB16" s="966"/>
      <c r="BC16" s="966"/>
      <c r="BD16" s="966"/>
      <c r="BE16" s="966"/>
      <c r="BF16" s="966"/>
      <c r="BG16" s="966"/>
      <c r="BH16" s="965"/>
      <c r="BI16" s="966"/>
      <c r="BJ16" s="973"/>
      <c r="BK16" s="966"/>
      <c r="BL16" s="973"/>
      <c r="BM16" s="978"/>
      <c r="BN16" s="978"/>
      <c r="BO16" s="966"/>
      <c r="BP16" s="966"/>
      <c r="BQ16" s="966"/>
      <c r="BR16" s="966"/>
      <c r="BS16" s="966"/>
      <c r="BT16" s="966"/>
      <c r="BU16" s="965"/>
      <c r="BV16" s="966"/>
      <c r="BW16" s="973"/>
      <c r="BX16" s="966"/>
      <c r="BY16" s="973"/>
      <c r="BZ16" s="978"/>
      <c r="CA16" s="978"/>
      <c r="CB16" s="966"/>
      <c r="CC16" s="966"/>
      <c r="CD16" s="966"/>
      <c r="CE16" s="966"/>
      <c r="CF16" s="966"/>
      <c r="CG16" s="966"/>
      <c r="CH16" s="965"/>
      <c r="CI16" s="966"/>
      <c r="CJ16" s="973"/>
      <c r="CK16" s="966"/>
      <c r="CL16" s="973"/>
      <c r="CM16" s="978"/>
      <c r="CN16" s="978"/>
      <c r="CO16" s="966"/>
      <c r="CP16" s="966"/>
      <c r="CQ16" s="966"/>
      <c r="CR16" s="966"/>
      <c r="CS16" s="966"/>
      <c r="CT16" s="966"/>
      <c r="CU16" s="965"/>
      <c r="CV16" s="966"/>
      <c r="CW16" s="973"/>
      <c r="CX16" s="966"/>
      <c r="CY16" s="973"/>
      <c r="CZ16" s="978"/>
      <c r="DA16" s="978"/>
      <c r="DB16" s="966"/>
      <c r="DC16" s="966"/>
      <c r="DD16" s="966"/>
      <c r="DE16" s="966"/>
      <c r="DF16" s="966"/>
      <c r="DG16" s="966"/>
      <c r="DH16" s="965"/>
      <c r="DI16" s="966"/>
      <c r="DJ16" s="973"/>
      <c r="DK16" s="966"/>
      <c r="DL16" s="973"/>
      <c r="DM16" s="978"/>
      <c r="DN16" s="978"/>
      <c r="DO16" s="966"/>
      <c r="DP16" s="966"/>
      <c r="DQ16" s="966"/>
      <c r="DR16" s="966"/>
      <c r="DS16" s="966"/>
      <c r="DT16" s="966"/>
      <c r="DU16" s="965"/>
      <c r="DV16" s="966"/>
      <c r="DW16" s="973"/>
      <c r="DX16" s="966"/>
      <c r="DY16" s="973"/>
      <c r="DZ16" s="978"/>
      <c r="EA16" s="978"/>
      <c r="EB16" s="966"/>
      <c r="EC16" s="966"/>
      <c r="ED16" s="966"/>
      <c r="EE16" s="966"/>
      <c r="EF16" s="966"/>
      <c r="EG16" s="966"/>
      <c r="EH16" s="965"/>
      <c r="EI16" s="966"/>
      <c r="EJ16" s="973"/>
      <c r="EK16" s="966"/>
      <c r="EL16" s="973"/>
      <c r="EM16" s="978"/>
      <c r="EN16" s="978"/>
      <c r="EO16" s="966"/>
      <c r="EP16" s="966"/>
      <c r="EQ16" s="966"/>
      <c r="ER16" s="966"/>
      <c r="ES16" s="966"/>
      <c r="ET16" s="966"/>
      <c r="EU16" s="965"/>
      <c r="EV16" s="966"/>
      <c r="EW16" s="973"/>
      <c r="EX16" s="966"/>
      <c r="EY16" s="973"/>
      <c r="EZ16" s="978"/>
      <c r="FA16" s="978"/>
      <c r="FB16" s="966"/>
      <c r="FC16" s="966"/>
      <c r="FD16" s="966"/>
      <c r="FE16" s="966"/>
      <c r="FF16" s="966"/>
      <c r="FG16" s="966"/>
      <c r="FH16" s="965"/>
      <c r="FI16" s="966"/>
      <c r="FJ16" s="973"/>
      <c r="FK16" s="966"/>
      <c r="FL16" s="973"/>
      <c r="FM16" s="978"/>
      <c r="FN16" s="978"/>
      <c r="FO16" s="966"/>
      <c r="FP16" s="966"/>
      <c r="FQ16" s="966"/>
      <c r="FR16" s="966"/>
      <c r="FS16" s="966"/>
      <c r="FT16" s="966"/>
      <c r="FU16" s="965"/>
      <c r="FV16" s="966"/>
      <c r="FW16" s="973"/>
      <c r="FX16" s="966"/>
      <c r="FY16" s="973"/>
      <c r="FZ16" s="978"/>
      <c r="GA16" s="978"/>
      <c r="GB16" s="966"/>
      <c r="GC16" s="966"/>
      <c r="GD16" s="966"/>
      <c r="GE16" s="966"/>
      <c r="GF16" s="966"/>
      <c r="GG16" s="966"/>
      <c r="GH16" s="965"/>
      <c r="GI16" s="966"/>
      <c r="GJ16" s="973"/>
      <c r="GK16" s="966"/>
      <c r="GL16" s="973"/>
      <c r="GM16" s="978"/>
      <c r="GN16" s="978"/>
      <c r="GO16" s="966"/>
      <c r="GP16" s="966"/>
      <c r="GQ16" s="966"/>
      <c r="GR16" s="966"/>
      <c r="GS16" s="966"/>
      <c r="GT16" s="966"/>
      <c r="GU16" s="965"/>
      <c r="GV16" s="966"/>
      <c r="GW16" s="973"/>
      <c r="GX16" s="966"/>
      <c r="GY16" s="973"/>
      <c r="GZ16" s="978"/>
      <c r="HA16" s="978"/>
      <c r="HB16" s="966"/>
      <c r="HC16" s="966"/>
      <c r="HD16" s="966"/>
      <c r="HE16" s="966"/>
      <c r="HF16" s="966"/>
      <c r="HG16" s="966"/>
      <c r="HH16" s="965"/>
      <c r="HI16" s="966"/>
      <c r="HJ16" s="973"/>
      <c r="HK16" s="966"/>
      <c r="HL16" s="973"/>
      <c r="HM16" s="978"/>
      <c r="HN16" s="978"/>
      <c r="HO16" s="966"/>
      <c r="HP16" s="966"/>
      <c r="HQ16" s="966"/>
      <c r="HR16" s="966"/>
      <c r="HS16" s="966"/>
      <c r="HT16" s="966"/>
      <c r="HU16" s="965"/>
      <c r="HV16" s="966"/>
      <c r="HW16" s="973"/>
      <c r="HX16" s="966"/>
      <c r="HY16" s="973"/>
      <c r="HZ16" s="978"/>
      <c r="IA16" s="978"/>
      <c r="IB16" s="966"/>
      <c r="IC16" s="966"/>
      <c r="ID16" s="966"/>
      <c r="IE16" s="966"/>
      <c r="IF16" s="966"/>
      <c r="IG16" s="966"/>
      <c r="IH16" s="965"/>
      <c r="II16" s="966"/>
      <c r="IJ16" s="973"/>
      <c r="IK16" s="966"/>
      <c r="IL16" s="973"/>
      <c r="IM16" s="978"/>
      <c r="IN16" s="978"/>
      <c r="IO16" s="966"/>
      <c r="IP16" s="966"/>
      <c r="IQ16" s="966"/>
      <c r="IR16" s="966"/>
      <c r="IS16" s="966"/>
      <c r="IT16" s="966"/>
      <c r="IU16" s="965"/>
      <c r="IV16" s="966"/>
      <c r="IW16" s="973"/>
      <c r="IX16" s="966"/>
      <c r="IY16" s="973"/>
      <c r="IZ16" s="978"/>
      <c r="JA16" s="978"/>
      <c r="JB16" s="966"/>
      <c r="JC16" s="966"/>
      <c r="JD16" s="966"/>
      <c r="JE16" s="966"/>
      <c r="JF16" s="966"/>
      <c r="JG16" s="966"/>
      <c r="JH16" s="965"/>
      <c r="JI16" s="966"/>
      <c r="JJ16" s="973"/>
      <c r="JK16" s="966"/>
      <c r="JL16" s="973"/>
      <c r="JM16" s="978"/>
      <c r="JN16" s="978"/>
      <c r="JO16" s="966"/>
      <c r="JP16" s="966"/>
      <c r="JQ16" s="966"/>
      <c r="JR16" s="966"/>
      <c r="JS16" s="966"/>
      <c r="JT16" s="966"/>
      <c r="JU16" s="965"/>
      <c r="JV16" s="966"/>
      <c r="JW16" s="973"/>
      <c r="JX16" s="966"/>
      <c r="JY16" s="973"/>
      <c r="JZ16" s="978"/>
      <c r="KA16" s="978"/>
      <c r="KB16" s="966"/>
      <c r="KC16" s="966"/>
      <c r="KD16" s="966"/>
      <c r="KE16" s="966"/>
      <c r="KF16" s="966"/>
      <c r="KG16" s="966"/>
      <c r="KH16" s="965"/>
      <c r="KI16" s="966"/>
      <c r="KJ16" s="973"/>
      <c r="KK16" s="966"/>
      <c r="KL16" s="973"/>
      <c r="KM16" s="978"/>
      <c r="KN16" s="978"/>
      <c r="KO16" s="966"/>
      <c r="KP16" s="966"/>
      <c r="KQ16" s="966"/>
      <c r="KR16" s="966"/>
      <c r="KS16" s="966"/>
      <c r="KT16" s="966"/>
      <c r="KU16" s="965"/>
      <c r="KV16" s="966"/>
      <c r="KW16" s="973"/>
      <c r="KX16" s="966"/>
      <c r="KY16" s="973"/>
      <c r="KZ16" s="978"/>
      <c r="LA16" s="978"/>
      <c r="LB16" s="966"/>
      <c r="LC16" s="966"/>
      <c r="LD16" s="966"/>
      <c r="LE16" s="966"/>
      <c r="LF16" s="966"/>
      <c r="LG16" s="966"/>
      <c r="LH16" s="965"/>
      <c r="LI16" s="966"/>
      <c r="LJ16" s="973"/>
      <c r="LK16" s="966"/>
      <c r="LL16" s="973"/>
      <c r="LM16" s="978"/>
      <c r="LN16" s="978"/>
      <c r="LO16" s="966"/>
      <c r="LP16" s="966"/>
      <c r="LQ16" s="966"/>
      <c r="LR16" s="966"/>
      <c r="LS16" s="966"/>
      <c r="LT16" s="966"/>
      <c r="LU16" s="965"/>
      <c r="LV16" s="966"/>
      <c r="LW16" s="973"/>
      <c r="LX16" s="966"/>
      <c r="LY16" s="973"/>
      <c r="LZ16" s="978"/>
      <c r="MA16" s="978"/>
      <c r="MB16" s="966"/>
      <c r="MC16" s="966"/>
      <c r="MD16" s="966"/>
      <c r="ME16" s="966"/>
      <c r="MF16" s="966"/>
      <c r="MG16" s="966"/>
    </row>
    <row r="17" spans="2:345">
      <c r="B17" s="196">
        <f>INDEX(Groups!$C$7:$C$65,MATCH(C17,Groups!$D$7:$D$65,0))</f>
        <v>19</v>
      </c>
      <c r="C17" s="197" t="str">
        <f>CalcB!$P$26</f>
        <v>Zwitserland</v>
      </c>
      <c r="D17" s="198">
        <f>INDEX(Groups!$C$7:$C$65,MATCH(E17,Groups!$D$7:$D$65,0))</f>
        <v>30</v>
      </c>
      <c r="E17" s="197" t="str">
        <f>CalcB!$Q$26</f>
        <v>Canada</v>
      </c>
      <c r="F17" s="199" t="str">
        <f>CalcB!$R$26</f>
        <v/>
      </c>
      <c r="G17" s="200" t="str">
        <f>CalcB!$S$26</f>
        <v/>
      </c>
      <c r="I17" s="196">
        <f t="shared" si="0"/>
        <v>19</v>
      </c>
      <c r="J17" s="197" t="str">
        <f t="shared" si="6"/>
        <v>Zwitserland</v>
      </c>
      <c r="K17" s="198">
        <f t="shared" si="1"/>
        <v>30</v>
      </c>
      <c r="L17" s="197" t="str">
        <f t="shared" si="7"/>
        <v>Canada</v>
      </c>
      <c r="M17" s="232"/>
      <c r="N17" s="232"/>
      <c r="O17" s="228"/>
      <c r="P17" s="198" t="str">
        <f t="shared" si="8"/>
        <v/>
      </c>
      <c r="Q17" s="198" t="str">
        <f>IF((P17&lt;&gt;""),IF(OR($F17&lt;&gt;$G17,PrSettings!$M$4="●"),(($F17-$G17)=(M17-N17))*1,0),"")</f>
        <v/>
      </c>
      <c r="R17" s="198" t="str">
        <f t="shared" si="9"/>
        <v/>
      </c>
      <c r="S17" s="198" t="str">
        <f>IF(P17&lt;&gt;"",IF(ABS($F17-$G17)&gt;=PrSettings!$M$7,(ABS($F17-$G17-M17+N17)&lt;=1)*1,IF(AND(P17,$F17=$G17,$F17&gt;=PrSettings!$M$6),(ABS(M17-$F17)&lt;=1)*1,IF(AND(P17,$F17+$G17&gt;=PrSettings!$M$8),(ABS(M17-$F17)+ABS(N17-$G17)&lt;=1)*1,""))),"")</f>
        <v/>
      </c>
      <c r="T17" s="989"/>
      <c r="U17" s="965"/>
      <c r="V17" s="966"/>
      <c r="W17" s="973"/>
      <c r="X17" s="966"/>
      <c r="Y17" s="973"/>
      <c r="Z17" s="978"/>
      <c r="AA17" s="978"/>
      <c r="AB17" s="966"/>
      <c r="AC17" s="966"/>
      <c r="AD17" s="966"/>
      <c r="AE17" s="966"/>
      <c r="AF17" s="966"/>
      <c r="AG17" s="966"/>
      <c r="AH17" s="965"/>
      <c r="AI17" s="966"/>
      <c r="AJ17" s="973"/>
      <c r="AK17" s="966"/>
      <c r="AL17" s="973"/>
      <c r="AM17" s="978"/>
      <c r="AN17" s="978"/>
      <c r="AO17" s="966"/>
      <c r="AP17" s="966"/>
      <c r="AQ17" s="966"/>
      <c r="AR17" s="966"/>
      <c r="AS17" s="966"/>
      <c r="AT17" s="966"/>
      <c r="AU17" s="965"/>
      <c r="AV17" s="966"/>
      <c r="AW17" s="973"/>
      <c r="AX17" s="966"/>
      <c r="AY17" s="973"/>
      <c r="AZ17" s="978"/>
      <c r="BA17" s="978"/>
      <c r="BB17" s="966"/>
      <c r="BC17" s="966"/>
      <c r="BD17" s="966"/>
      <c r="BE17" s="966"/>
      <c r="BF17" s="966"/>
      <c r="BG17" s="966"/>
      <c r="BH17" s="965"/>
      <c r="BI17" s="966"/>
      <c r="BJ17" s="973"/>
      <c r="BK17" s="966"/>
      <c r="BL17" s="973"/>
      <c r="BM17" s="978"/>
      <c r="BN17" s="978"/>
      <c r="BO17" s="966"/>
      <c r="BP17" s="966"/>
      <c r="BQ17" s="966"/>
      <c r="BR17" s="966"/>
      <c r="BS17" s="966"/>
      <c r="BT17" s="966"/>
      <c r="BU17" s="965"/>
      <c r="BV17" s="966"/>
      <c r="BW17" s="973"/>
      <c r="BX17" s="966"/>
      <c r="BY17" s="973"/>
      <c r="BZ17" s="978"/>
      <c r="CA17" s="978"/>
      <c r="CB17" s="966"/>
      <c r="CC17" s="966"/>
      <c r="CD17" s="966"/>
      <c r="CE17" s="966"/>
      <c r="CF17" s="966"/>
      <c r="CG17" s="966"/>
      <c r="CH17" s="965"/>
      <c r="CI17" s="966"/>
      <c r="CJ17" s="973"/>
      <c r="CK17" s="966"/>
      <c r="CL17" s="973"/>
      <c r="CM17" s="978"/>
      <c r="CN17" s="978"/>
      <c r="CO17" s="966"/>
      <c r="CP17" s="966"/>
      <c r="CQ17" s="966"/>
      <c r="CR17" s="966"/>
      <c r="CS17" s="966"/>
      <c r="CT17" s="966"/>
      <c r="CU17" s="965"/>
      <c r="CV17" s="966"/>
      <c r="CW17" s="973"/>
      <c r="CX17" s="966"/>
      <c r="CY17" s="973"/>
      <c r="CZ17" s="978"/>
      <c r="DA17" s="978"/>
      <c r="DB17" s="966"/>
      <c r="DC17" s="966"/>
      <c r="DD17" s="966"/>
      <c r="DE17" s="966"/>
      <c r="DF17" s="966"/>
      <c r="DG17" s="966"/>
      <c r="DH17" s="965"/>
      <c r="DI17" s="966"/>
      <c r="DJ17" s="973"/>
      <c r="DK17" s="966"/>
      <c r="DL17" s="973"/>
      <c r="DM17" s="978"/>
      <c r="DN17" s="978"/>
      <c r="DO17" s="966"/>
      <c r="DP17" s="966"/>
      <c r="DQ17" s="966"/>
      <c r="DR17" s="966"/>
      <c r="DS17" s="966"/>
      <c r="DT17" s="966"/>
      <c r="DU17" s="965"/>
      <c r="DV17" s="966"/>
      <c r="DW17" s="973"/>
      <c r="DX17" s="966"/>
      <c r="DY17" s="973"/>
      <c r="DZ17" s="978"/>
      <c r="EA17" s="978"/>
      <c r="EB17" s="966"/>
      <c r="EC17" s="966"/>
      <c r="ED17" s="966"/>
      <c r="EE17" s="966"/>
      <c r="EF17" s="966"/>
      <c r="EG17" s="966"/>
      <c r="EH17" s="965"/>
      <c r="EI17" s="966"/>
      <c r="EJ17" s="973"/>
      <c r="EK17" s="966"/>
      <c r="EL17" s="973"/>
      <c r="EM17" s="978"/>
      <c r="EN17" s="978"/>
      <c r="EO17" s="966"/>
      <c r="EP17" s="966"/>
      <c r="EQ17" s="966"/>
      <c r="ER17" s="966"/>
      <c r="ES17" s="966"/>
      <c r="ET17" s="966"/>
      <c r="EU17" s="965"/>
      <c r="EV17" s="966"/>
      <c r="EW17" s="973"/>
      <c r="EX17" s="966"/>
      <c r="EY17" s="973"/>
      <c r="EZ17" s="978"/>
      <c r="FA17" s="978"/>
      <c r="FB17" s="966"/>
      <c r="FC17" s="966"/>
      <c r="FD17" s="966"/>
      <c r="FE17" s="966"/>
      <c r="FF17" s="966"/>
      <c r="FG17" s="966"/>
      <c r="FH17" s="965"/>
      <c r="FI17" s="966"/>
      <c r="FJ17" s="973"/>
      <c r="FK17" s="966"/>
      <c r="FL17" s="973"/>
      <c r="FM17" s="978"/>
      <c r="FN17" s="978"/>
      <c r="FO17" s="966"/>
      <c r="FP17" s="966"/>
      <c r="FQ17" s="966"/>
      <c r="FR17" s="966"/>
      <c r="FS17" s="966"/>
      <c r="FT17" s="966"/>
      <c r="FU17" s="965"/>
      <c r="FV17" s="966"/>
      <c r="FW17" s="973"/>
      <c r="FX17" s="966"/>
      <c r="FY17" s="973"/>
      <c r="FZ17" s="978"/>
      <c r="GA17" s="978"/>
      <c r="GB17" s="966"/>
      <c r="GC17" s="966"/>
      <c r="GD17" s="966"/>
      <c r="GE17" s="966"/>
      <c r="GF17" s="966"/>
      <c r="GG17" s="966"/>
      <c r="GH17" s="965"/>
      <c r="GI17" s="966"/>
      <c r="GJ17" s="973"/>
      <c r="GK17" s="966"/>
      <c r="GL17" s="973"/>
      <c r="GM17" s="978"/>
      <c r="GN17" s="978"/>
      <c r="GO17" s="966"/>
      <c r="GP17" s="966"/>
      <c r="GQ17" s="966"/>
      <c r="GR17" s="966"/>
      <c r="GS17" s="966"/>
      <c r="GT17" s="966"/>
      <c r="GU17" s="965"/>
      <c r="GV17" s="966"/>
      <c r="GW17" s="973"/>
      <c r="GX17" s="966"/>
      <c r="GY17" s="973"/>
      <c r="GZ17" s="978"/>
      <c r="HA17" s="978"/>
      <c r="HB17" s="966"/>
      <c r="HC17" s="966"/>
      <c r="HD17" s="966"/>
      <c r="HE17" s="966"/>
      <c r="HF17" s="966"/>
      <c r="HG17" s="966"/>
      <c r="HH17" s="965"/>
      <c r="HI17" s="966"/>
      <c r="HJ17" s="973"/>
      <c r="HK17" s="966"/>
      <c r="HL17" s="973"/>
      <c r="HM17" s="978"/>
      <c r="HN17" s="978"/>
      <c r="HO17" s="966"/>
      <c r="HP17" s="966"/>
      <c r="HQ17" s="966"/>
      <c r="HR17" s="966"/>
      <c r="HS17" s="966"/>
      <c r="HT17" s="966"/>
      <c r="HU17" s="965"/>
      <c r="HV17" s="966"/>
      <c r="HW17" s="973"/>
      <c r="HX17" s="966"/>
      <c r="HY17" s="973"/>
      <c r="HZ17" s="978"/>
      <c r="IA17" s="978"/>
      <c r="IB17" s="966"/>
      <c r="IC17" s="966"/>
      <c r="ID17" s="966"/>
      <c r="IE17" s="966"/>
      <c r="IF17" s="966"/>
      <c r="IG17" s="966"/>
      <c r="IH17" s="965"/>
      <c r="II17" s="966"/>
      <c r="IJ17" s="973"/>
      <c r="IK17" s="966"/>
      <c r="IL17" s="973"/>
      <c r="IM17" s="978"/>
      <c r="IN17" s="978"/>
      <c r="IO17" s="966"/>
      <c r="IP17" s="966"/>
      <c r="IQ17" s="966"/>
      <c r="IR17" s="966"/>
      <c r="IS17" s="966"/>
      <c r="IT17" s="966"/>
      <c r="IU17" s="965"/>
      <c r="IV17" s="966"/>
      <c r="IW17" s="973"/>
      <c r="IX17" s="966"/>
      <c r="IY17" s="973"/>
      <c r="IZ17" s="978"/>
      <c r="JA17" s="978"/>
      <c r="JB17" s="966"/>
      <c r="JC17" s="966"/>
      <c r="JD17" s="966"/>
      <c r="JE17" s="966"/>
      <c r="JF17" s="966"/>
      <c r="JG17" s="966"/>
      <c r="JH17" s="965"/>
      <c r="JI17" s="966"/>
      <c r="JJ17" s="973"/>
      <c r="JK17" s="966"/>
      <c r="JL17" s="973"/>
      <c r="JM17" s="978"/>
      <c r="JN17" s="978"/>
      <c r="JO17" s="966"/>
      <c r="JP17" s="966"/>
      <c r="JQ17" s="966"/>
      <c r="JR17" s="966"/>
      <c r="JS17" s="966"/>
      <c r="JT17" s="966"/>
      <c r="JU17" s="965"/>
      <c r="JV17" s="966"/>
      <c r="JW17" s="973"/>
      <c r="JX17" s="966"/>
      <c r="JY17" s="973"/>
      <c r="JZ17" s="978"/>
      <c r="KA17" s="978"/>
      <c r="KB17" s="966"/>
      <c r="KC17" s="966"/>
      <c r="KD17" s="966"/>
      <c r="KE17" s="966"/>
      <c r="KF17" s="966"/>
      <c r="KG17" s="966"/>
      <c r="KH17" s="965"/>
      <c r="KI17" s="966"/>
      <c r="KJ17" s="973"/>
      <c r="KK17" s="966"/>
      <c r="KL17" s="973"/>
      <c r="KM17" s="978"/>
      <c r="KN17" s="978"/>
      <c r="KO17" s="966"/>
      <c r="KP17" s="966"/>
      <c r="KQ17" s="966"/>
      <c r="KR17" s="966"/>
      <c r="KS17" s="966"/>
      <c r="KT17" s="966"/>
      <c r="KU17" s="965"/>
      <c r="KV17" s="966"/>
      <c r="KW17" s="973"/>
      <c r="KX17" s="966"/>
      <c r="KY17" s="973"/>
      <c r="KZ17" s="978"/>
      <c r="LA17" s="978"/>
      <c r="LB17" s="966"/>
      <c r="LC17" s="966"/>
      <c r="LD17" s="966"/>
      <c r="LE17" s="966"/>
      <c r="LF17" s="966"/>
      <c r="LG17" s="966"/>
      <c r="LH17" s="965"/>
      <c r="LI17" s="966"/>
      <c r="LJ17" s="973"/>
      <c r="LK17" s="966"/>
      <c r="LL17" s="973"/>
      <c r="LM17" s="978"/>
      <c r="LN17" s="978"/>
      <c r="LO17" s="966"/>
      <c r="LP17" s="966"/>
      <c r="LQ17" s="966"/>
      <c r="LR17" s="966"/>
      <c r="LS17" s="966"/>
      <c r="LT17" s="966"/>
      <c r="LU17" s="965"/>
      <c r="LV17" s="966"/>
      <c r="LW17" s="973"/>
      <c r="LX17" s="966"/>
      <c r="LY17" s="973"/>
      <c r="LZ17" s="978"/>
      <c r="MA17" s="978"/>
      <c r="MB17" s="966"/>
      <c r="MC17" s="966"/>
      <c r="MD17" s="966"/>
      <c r="ME17" s="966"/>
      <c r="MF17" s="966"/>
      <c r="MG17" s="966"/>
    </row>
    <row r="18" spans="2:345">
      <c r="B18" s="196">
        <f>INDEX(Groups!$C$7:$C$65,MATCH(C18,Groups!$D$7:$D$65,0))</f>
        <v>65</v>
      </c>
      <c r="C18" s="197" t="str">
        <f>CalcB!$P$27</f>
        <v>Bosnië/Herzeg.</v>
      </c>
      <c r="D18" s="198">
        <f>INDEX(Groups!$C$7:$C$65,MATCH(E18,Groups!$D$7:$D$65,0))</f>
        <v>55</v>
      </c>
      <c r="E18" s="197" t="str">
        <f>CalcB!$Q$27</f>
        <v>Qatar</v>
      </c>
      <c r="F18" s="199" t="str">
        <f>CalcB!$R$27</f>
        <v/>
      </c>
      <c r="G18" s="200" t="str">
        <f>CalcB!$S$27</f>
        <v/>
      </c>
      <c r="I18" s="196">
        <f t="shared" si="0"/>
        <v>65</v>
      </c>
      <c r="J18" s="197" t="str">
        <f t="shared" si="6"/>
        <v>Bosnië/Herzeg.</v>
      </c>
      <c r="K18" s="198">
        <f t="shared" si="1"/>
        <v>55</v>
      </c>
      <c r="L18" s="197" t="str">
        <f t="shared" si="7"/>
        <v>Qatar</v>
      </c>
      <c r="M18" s="232"/>
      <c r="N18" s="232"/>
      <c r="O18" s="473"/>
      <c r="P18" s="198" t="str">
        <f t="shared" si="8"/>
        <v/>
      </c>
      <c r="Q18" s="198" t="str">
        <f>IF((P18&lt;&gt;""),IF(OR($F18&lt;&gt;$G18,PrSettings!$M$4="●"),(($F18-$G18)=(M18-N18))*1,0),"")</f>
        <v/>
      </c>
      <c r="R18" s="198" t="str">
        <f t="shared" si="9"/>
        <v/>
      </c>
      <c r="S18" s="198" t="str">
        <f>IF(P18&lt;&gt;"",IF(ABS($F18-$G18)&gt;=PrSettings!$M$7,(ABS($F18-$G18-M18+N18)&lt;=1)*1,IF(AND(P18,$F18=$G18,$F18&gt;=PrSettings!$M$6),(ABS(M18-$F18)&lt;=1)*1,IF(AND(P18,$F18+$G18&gt;=PrSettings!$M$8),(ABS(M18-$F18)+ABS(N18-$G18)&lt;=1)*1,""))),"")</f>
        <v/>
      </c>
      <c r="T18" s="990"/>
      <c r="U18" s="965"/>
      <c r="V18" s="966"/>
      <c r="W18" s="973"/>
      <c r="X18" s="966"/>
      <c r="Y18" s="973"/>
      <c r="Z18" s="978"/>
      <c r="AA18" s="978"/>
      <c r="AB18" s="966"/>
      <c r="AC18" s="966"/>
      <c r="AD18" s="966"/>
      <c r="AE18" s="966"/>
      <c r="AF18" s="966"/>
      <c r="AG18" s="966"/>
      <c r="AH18" s="965"/>
      <c r="AI18" s="966"/>
      <c r="AJ18" s="973"/>
      <c r="AK18" s="966"/>
      <c r="AL18" s="973"/>
      <c r="AM18" s="978"/>
      <c r="AN18" s="978"/>
      <c r="AO18" s="966"/>
      <c r="AP18" s="966"/>
      <c r="AQ18" s="966"/>
      <c r="AR18" s="966"/>
      <c r="AS18" s="966"/>
      <c r="AT18" s="966"/>
      <c r="AU18" s="965"/>
      <c r="AV18" s="966"/>
      <c r="AW18" s="973"/>
      <c r="AX18" s="966"/>
      <c r="AY18" s="973"/>
      <c r="AZ18" s="978"/>
      <c r="BA18" s="978"/>
      <c r="BB18" s="966"/>
      <c r="BC18" s="966"/>
      <c r="BD18" s="966"/>
      <c r="BE18" s="966"/>
      <c r="BF18" s="966"/>
      <c r="BG18" s="966"/>
      <c r="BH18" s="965"/>
      <c r="BI18" s="966"/>
      <c r="BJ18" s="973"/>
      <c r="BK18" s="966"/>
      <c r="BL18" s="973"/>
      <c r="BM18" s="978"/>
      <c r="BN18" s="978"/>
      <c r="BO18" s="966"/>
      <c r="BP18" s="966"/>
      <c r="BQ18" s="966"/>
      <c r="BR18" s="966"/>
      <c r="BS18" s="966"/>
      <c r="BT18" s="966"/>
      <c r="BU18" s="965"/>
      <c r="BV18" s="966"/>
      <c r="BW18" s="973"/>
      <c r="BX18" s="966"/>
      <c r="BY18" s="973"/>
      <c r="BZ18" s="978"/>
      <c r="CA18" s="978"/>
      <c r="CB18" s="966"/>
      <c r="CC18" s="966"/>
      <c r="CD18" s="966"/>
      <c r="CE18" s="966"/>
      <c r="CF18" s="966"/>
      <c r="CG18" s="966"/>
      <c r="CH18" s="965"/>
      <c r="CI18" s="966"/>
      <c r="CJ18" s="973"/>
      <c r="CK18" s="966"/>
      <c r="CL18" s="973"/>
      <c r="CM18" s="978"/>
      <c r="CN18" s="978"/>
      <c r="CO18" s="966"/>
      <c r="CP18" s="966"/>
      <c r="CQ18" s="966"/>
      <c r="CR18" s="966"/>
      <c r="CS18" s="966"/>
      <c r="CT18" s="966"/>
      <c r="CU18" s="965"/>
      <c r="CV18" s="966"/>
      <c r="CW18" s="973"/>
      <c r="CX18" s="966"/>
      <c r="CY18" s="973"/>
      <c r="CZ18" s="978"/>
      <c r="DA18" s="978"/>
      <c r="DB18" s="966"/>
      <c r="DC18" s="966"/>
      <c r="DD18" s="966"/>
      <c r="DE18" s="966"/>
      <c r="DF18" s="966"/>
      <c r="DG18" s="966"/>
      <c r="DH18" s="965"/>
      <c r="DI18" s="966"/>
      <c r="DJ18" s="973"/>
      <c r="DK18" s="966"/>
      <c r="DL18" s="973"/>
      <c r="DM18" s="978"/>
      <c r="DN18" s="978"/>
      <c r="DO18" s="966"/>
      <c r="DP18" s="966"/>
      <c r="DQ18" s="966"/>
      <c r="DR18" s="966"/>
      <c r="DS18" s="966"/>
      <c r="DT18" s="966"/>
      <c r="DU18" s="965"/>
      <c r="DV18" s="966"/>
      <c r="DW18" s="973"/>
      <c r="DX18" s="966"/>
      <c r="DY18" s="973"/>
      <c r="DZ18" s="978"/>
      <c r="EA18" s="978"/>
      <c r="EB18" s="966"/>
      <c r="EC18" s="966"/>
      <c r="ED18" s="966"/>
      <c r="EE18" s="966"/>
      <c r="EF18" s="966"/>
      <c r="EG18" s="966"/>
      <c r="EH18" s="965"/>
      <c r="EI18" s="966"/>
      <c r="EJ18" s="973"/>
      <c r="EK18" s="966"/>
      <c r="EL18" s="973"/>
      <c r="EM18" s="978"/>
      <c r="EN18" s="978"/>
      <c r="EO18" s="966"/>
      <c r="EP18" s="966"/>
      <c r="EQ18" s="966"/>
      <c r="ER18" s="966"/>
      <c r="ES18" s="966"/>
      <c r="ET18" s="966"/>
      <c r="EU18" s="965"/>
      <c r="EV18" s="966"/>
      <c r="EW18" s="973"/>
      <c r="EX18" s="966"/>
      <c r="EY18" s="973"/>
      <c r="EZ18" s="978"/>
      <c r="FA18" s="978"/>
      <c r="FB18" s="966"/>
      <c r="FC18" s="966"/>
      <c r="FD18" s="966"/>
      <c r="FE18" s="966"/>
      <c r="FF18" s="966"/>
      <c r="FG18" s="966"/>
      <c r="FH18" s="965"/>
      <c r="FI18" s="966"/>
      <c r="FJ18" s="973"/>
      <c r="FK18" s="966"/>
      <c r="FL18" s="973"/>
      <c r="FM18" s="978"/>
      <c r="FN18" s="978"/>
      <c r="FO18" s="966"/>
      <c r="FP18" s="966"/>
      <c r="FQ18" s="966"/>
      <c r="FR18" s="966"/>
      <c r="FS18" s="966"/>
      <c r="FT18" s="966"/>
      <c r="FU18" s="965"/>
      <c r="FV18" s="966"/>
      <c r="FW18" s="973"/>
      <c r="FX18" s="966"/>
      <c r="FY18" s="973"/>
      <c r="FZ18" s="978"/>
      <c r="GA18" s="978"/>
      <c r="GB18" s="966"/>
      <c r="GC18" s="966"/>
      <c r="GD18" s="966"/>
      <c r="GE18" s="966"/>
      <c r="GF18" s="966"/>
      <c r="GG18" s="966"/>
      <c r="GH18" s="965"/>
      <c r="GI18" s="966"/>
      <c r="GJ18" s="973"/>
      <c r="GK18" s="966"/>
      <c r="GL18" s="973"/>
      <c r="GM18" s="978"/>
      <c r="GN18" s="978"/>
      <c r="GO18" s="966"/>
      <c r="GP18" s="966"/>
      <c r="GQ18" s="966"/>
      <c r="GR18" s="966"/>
      <c r="GS18" s="966"/>
      <c r="GT18" s="966"/>
      <c r="GU18" s="965"/>
      <c r="GV18" s="966"/>
      <c r="GW18" s="973"/>
      <c r="GX18" s="966"/>
      <c r="GY18" s="973"/>
      <c r="GZ18" s="978"/>
      <c r="HA18" s="978"/>
      <c r="HB18" s="966"/>
      <c r="HC18" s="966"/>
      <c r="HD18" s="966"/>
      <c r="HE18" s="966"/>
      <c r="HF18" s="966"/>
      <c r="HG18" s="966"/>
      <c r="HH18" s="965"/>
      <c r="HI18" s="966"/>
      <c r="HJ18" s="973"/>
      <c r="HK18" s="966"/>
      <c r="HL18" s="973"/>
      <c r="HM18" s="978"/>
      <c r="HN18" s="978"/>
      <c r="HO18" s="966"/>
      <c r="HP18" s="966"/>
      <c r="HQ18" s="966"/>
      <c r="HR18" s="966"/>
      <c r="HS18" s="966"/>
      <c r="HT18" s="966"/>
      <c r="HU18" s="965"/>
      <c r="HV18" s="966"/>
      <c r="HW18" s="973"/>
      <c r="HX18" s="966"/>
      <c r="HY18" s="973"/>
      <c r="HZ18" s="978"/>
      <c r="IA18" s="978"/>
      <c r="IB18" s="966"/>
      <c r="IC18" s="966"/>
      <c r="ID18" s="966"/>
      <c r="IE18" s="966"/>
      <c r="IF18" s="966"/>
      <c r="IG18" s="966"/>
      <c r="IH18" s="965"/>
      <c r="II18" s="966"/>
      <c r="IJ18" s="973"/>
      <c r="IK18" s="966"/>
      <c r="IL18" s="973"/>
      <c r="IM18" s="978"/>
      <c r="IN18" s="978"/>
      <c r="IO18" s="966"/>
      <c r="IP18" s="966"/>
      <c r="IQ18" s="966"/>
      <c r="IR18" s="966"/>
      <c r="IS18" s="966"/>
      <c r="IT18" s="966"/>
      <c r="IU18" s="965"/>
      <c r="IV18" s="966"/>
      <c r="IW18" s="973"/>
      <c r="IX18" s="966"/>
      <c r="IY18" s="973"/>
      <c r="IZ18" s="978"/>
      <c r="JA18" s="978"/>
      <c r="JB18" s="966"/>
      <c r="JC18" s="966"/>
      <c r="JD18" s="966"/>
      <c r="JE18" s="966"/>
      <c r="JF18" s="966"/>
      <c r="JG18" s="966"/>
      <c r="JH18" s="965"/>
      <c r="JI18" s="966"/>
      <c r="JJ18" s="973"/>
      <c r="JK18" s="966"/>
      <c r="JL18" s="973"/>
      <c r="JM18" s="978"/>
      <c r="JN18" s="978"/>
      <c r="JO18" s="966"/>
      <c r="JP18" s="966"/>
      <c r="JQ18" s="966"/>
      <c r="JR18" s="966"/>
      <c r="JS18" s="966"/>
      <c r="JT18" s="966"/>
      <c r="JU18" s="965"/>
      <c r="JV18" s="966"/>
      <c r="JW18" s="973"/>
      <c r="JX18" s="966"/>
      <c r="JY18" s="973"/>
      <c r="JZ18" s="978"/>
      <c r="KA18" s="978"/>
      <c r="KB18" s="966"/>
      <c r="KC18" s="966"/>
      <c r="KD18" s="966"/>
      <c r="KE18" s="966"/>
      <c r="KF18" s="966"/>
      <c r="KG18" s="966"/>
      <c r="KH18" s="965"/>
      <c r="KI18" s="966"/>
      <c r="KJ18" s="973"/>
      <c r="KK18" s="966"/>
      <c r="KL18" s="973"/>
      <c r="KM18" s="978"/>
      <c r="KN18" s="978"/>
      <c r="KO18" s="966"/>
      <c r="KP18" s="966"/>
      <c r="KQ18" s="966"/>
      <c r="KR18" s="966"/>
      <c r="KS18" s="966"/>
      <c r="KT18" s="966"/>
      <c r="KU18" s="965"/>
      <c r="KV18" s="966"/>
      <c r="KW18" s="973"/>
      <c r="KX18" s="966"/>
      <c r="KY18" s="973"/>
      <c r="KZ18" s="978"/>
      <c r="LA18" s="978"/>
      <c r="LB18" s="966"/>
      <c r="LC18" s="966"/>
      <c r="LD18" s="966"/>
      <c r="LE18" s="966"/>
      <c r="LF18" s="966"/>
      <c r="LG18" s="966"/>
      <c r="LH18" s="965"/>
      <c r="LI18" s="966"/>
      <c r="LJ18" s="973"/>
      <c r="LK18" s="966"/>
      <c r="LL18" s="973"/>
      <c r="LM18" s="978"/>
      <c r="LN18" s="978"/>
      <c r="LO18" s="966"/>
      <c r="LP18" s="966"/>
      <c r="LQ18" s="966"/>
      <c r="LR18" s="966"/>
      <c r="LS18" s="966"/>
      <c r="LT18" s="966"/>
      <c r="LU18" s="965"/>
      <c r="LV18" s="966"/>
      <c r="LW18" s="973"/>
      <c r="LX18" s="966"/>
      <c r="LY18" s="973"/>
      <c r="LZ18" s="978"/>
      <c r="MA18" s="978"/>
      <c r="MB18" s="966"/>
      <c r="MC18" s="966"/>
      <c r="MD18" s="966"/>
      <c r="ME18" s="966"/>
      <c r="MF18" s="966"/>
      <c r="MG18" s="966"/>
    </row>
    <row r="19" spans="2:345" ht="24" customHeight="1">
      <c r="B19" s="205" t="str">
        <f>Language!$E$130&amp;" C"</f>
        <v>Groep C</v>
      </c>
      <c r="C19" s="206"/>
      <c r="D19" s="211"/>
      <c r="E19" s="208"/>
      <c r="F19" s="212"/>
      <c r="G19" s="213"/>
      <c r="I19" s="205" t="str">
        <f t="shared" si="0"/>
        <v>Groep C</v>
      </c>
      <c r="J19" s="207"/>
      <c r="K19" s="211"/>
      <c r="L19" s="208"/>
      <c r="M19" s="236"/>
      <c r="N19" s="237"/>
      <c r="O19" s="209"/>
      <c r="P19" s="220"/>
      <c r="Q19" s="220"/>
      <c r="R19" s="208"/>
      <c r="S19" s="208"/>
      <c r="T19" s="987"/>
      <c r="U19" s="965"/>
      <c r="V19" s="972"/>
      <c r="W19" s="972"/>
      <c r="X19" s="966"/>
      <c r="Y19" s="973"/>
      <c r="Z19" s="974"/>
      <c r="AA19" s="975"/>
      <c r="AB19" s="976"/>
      <c r="AC19" s="977"/>
      <c r="AD19" s="977"/>
      <c r="AE19" s="973"/>
      <c r="AF19" s="973"/>
      <c r="AG19" s="973"/>
      <c r="AH19" s="965"/>
      <c r="AI19" s="972"/>
      <c r="AJ19" s="972"/>
      <c r="AK19" s="966"/>
      <c r="AL19" s="973"/>
      <c r="AM19" s="974"/>
      <c r="AN19" s="975"/>
      <c r="AO19" s="976"/>
      <c r="AP19" s="977"/>
      <c r="AQ19" s="977"/>
      <c r="AR19" s="973"/>
      <c r="AS19" s="973"/>
      <c r="AT19" s="973"/>
      <c r="AU19" s="965"/>
      <c r="AV19" s="972"/>
      <c r="AW19" s="972"/>
      <c r="AX19" s="966"/>
      <c r="AY19" s="973"/>
      <c r="AZ19" s="974"/>
      <c r="BA19" s="975"/>
      <c r="BB19" s="976"/>
      <c r="BC19" s="977"/>
      <c r="BD19" s="977"/>
      <c r="BE19" s="973"/>
      <c r="BF19" s="973"/>
      <c r="BG19" s="973"/>
      <c r="BH19" s="965"/>
      <c r="BI19" s="972"/>
      <c r="BJ19" s="972"/>
      <c r="BK19" s="966"/>
      <c r="BL19" s="973"/>
      <c r="BM19" s="974"/>
      <c r="BN19" s="975"/>
      <c r="BO19" s="976"/>
      <c r="BP19" s="977"/>
      <c r="BQ19" s="977"/>
      <c r="BR19" s="973"/>
      <c r="BS19" s="973"/>
      <c r="BT19" s="973"/>
      <c r="BU19" s="965"/>
      <c r="BV19" s="972"/>
      <c r="BW19" s="972"/>
      <c r="BX19" s="966"/>
      <c r="BY19" s="973"/>
      <c r="BZ19" s="974"/>
      <c r="CA19" s="975"/>
      <c r="CB19" s="976"/>
      <c r="CC19" s="977"/>
      <c r="CD19" s="977"/>
      <c r="CE19" s="973"/>
      <c r="CF19" s="973"/>
      <c r="CG19" s="973"/>
      <c r="CH19" s="965"/>
      <c r="CI19" s="972"/>
      <c r="CJ19" s="972"/>
      <c r="CK19" s="966"/>
      <c r="CL19" s="973"/>
      <c r="CM19" s="974"/>
      <c r="CN19" s="975"/>
      <c r="CO19" s="976"/>
      <c r="CP19" s="977"/>
      <c r="CQ19" s="977"/>
      <c r="CR19" s="973"/>
      <c r="CS19" s="973"/>
      <c r="CT19" s="973"/>
      <c r="CU19" s="965"/>
      <c r="CV19" s="972"/>
      <c r="CW19" s="972"/>
      <c r="CX19" s="966"/>
      <c r="CY19" s="973"/>
      <c r="CZ19" s="974"/>
      <c r="DA19" s="975"/>
      <c r="DB19" s="976"/>
      <c r="DC19" s="977"/>
      <c r="DD19" s="977"/>
      <c r="DE19" s="973"/>
      <c r="DF19" s="973"/>
      <c r="DG19" s="973"/>
      <c r="DH19" s="965"/>
      <c r="DI19" s="972"/>
      <c r="DJ19" s="972"/>
      <c r="DK19" s="966"/>
      <c r="DL19" s="973"/>
      <c r="DM19" s="974"/>
      <c r="DN19" s="975"/>
      <c r="DO19" s="976"/>
      <c r="DP19" s="977"/>
      <c r="DQ19" s="977"/>
      <c r="DR19" s="973"/>
      <c r="DS19" s="973"/>
      <c r="DT19" s="973"/>
      <c r="DU19" s="965"/>
      <c r="DV19" s="972"/>
      <c r="DW19" s="972"/>
      <c r="DX19" s="966"/>
      <c r="DY19" s="973"/>
      <c r="DZ19" s="974"/>
      <c r="EA19" s="975"/>
      <c r="EB19" s="976"/>
      <c r="EC19" s="977"/>
      <c r="ED19" s="977"/>
      <c r="EE19" s="973"/>
      <c r="EF19" s="973"/>
      <c r="EG19" s="973"/>
      <c r="EH19" s="965"/>
      <c r="EI19" s="972"/>
      <c r="EJ19" s="972"/>
      <c r="EK19" s="966"/>
      <c r="EL19" s="973"/>
      <c r="EM19" s="974"/>
      <c r="EN19" s="975"/>
      <c r="EO19" s="976"/>
      <c r="EP19" s="977"/>
      <c r="EQ19" s="977"/>
      <c r="ER19" s="973"/>
      <c r="ES19" s="973"/>
      <c r="ET19" s="973"/>
      <c r="EU19" s="965"/>
      <c r="EV19" s="972"/>
      <c r="EW19" s="972"/>
      <c r="EX19" s="966"/>
      <c r="EY19" s="973"/>
      <c r="EZ19" s="974"/>
      <c r="FA19" s="975"/>
      <c r="FB19" s="976"/>
      <c r="FC19" s="977"/>
      <c r="FD19" s="977"/>
      <c r="FE19" s="973"/>
      <c r="FF19" s="973"/>
      <c r="FG19" s="973"/>
      <c r="FH19" s="965"/>
      <c r="FI19" s="972"/>
      <c r="FJ19" s="972"/>
      <c r="FK19" s="966"/>
      <c r="FL19" s="973"/>
      <c r="FM19" s="974"/>
      <c r="FN19" s="975"/>
      <c r="FO19" s="976"/>
      <c r="FP19" s="977"/>
      <c r="FQ19" s="977"/>
      <c r="FR19" s="973"/>
      <c r="FS19" s="973"/>
      <c r="FT19" s="973"/>
      <c r="FU19" s="965"/>
      <c r="FV19" s="972"/>
      <c r="FW19" s="972"/>
      <c r="FX19" s="966"/>
      <c r="FY19" s="973"/>
      <c r="FZ19" s="974"/>
      <c r="GA19" s="975"/>
      <c r="GB19" s="976"/>
      <c r="GC19" s="977"/>
      <c r="GD19" s="977"/>
      <c r="GE19" s="973"/>
      <c r="GF19" s="973"/>
      <c r="GG19" s="973"/>
      <c r="GH19" s="965"/>
      <c r="GI19" s="972"/>
      <c r="GJ19" s="972"/>
      <c r="GK19" s="966"/>
      <c r="GL19" s="973"/>
      <c r="GM19" s="974"/>
      <c r="GN19" s="975"/>
      <c r="GO19" s="976"/>
      <c r="GP19" s="977"/>
      <c r="GQ19" s="977"/>
      <c r="GR19" s="973"/>
      <c r="GS19" s="973"/>
      <c r="GT19" s="973"/>
      <c r="GU19" s="965"/>
      <c r="GV19" s="972"/>
      <c r="GW19" s="972"/>
      <c r="GX19" s="966"/>
      <c r="GY19" s="973"/>
      <c r="GZ19" s="974"/>
      <c r="HA19" s="975"/>
      <c r="HB19" s="976"/>
      <c r="HC19" s="977"/>
      <c r="HD19" s="977"/>
      <c r="HE19" s="973"/>
      <c r="HF19" s="973"/>
      <c r="HG19" s="973"/>
      <c r="HH19" s="965"/>
      <c r="HI19" s="972"/>
      <c r="HJ19" s="972"/>
      <c r="HK19" s="966"/>
      <c r="HL19" s="973"/>
      <c r="HM19" s="974"/>
      <c r="HN19" s="975"/>
      <c r="HO19" s="976"/>
      <c r="HP19" s="977"/>
      <c r="HQ19" s="977"/>
      <c r="HR19" s="973"/>
      <c r="HS19" s="973"/>
      <c r="HT19" s="973"/>
      <c r="HU19" s="965"/>
      <c r="HV19" s="972"/>
      <c r="HW19" s="972"/>
      <c r="HX19" s="966"/>
      <c r="HY19" s="973"/>
      <c r="HZ19" s="974"/>
      <c r="IA19" s="975"/>
      <c r="IB19" s="976"/>
      <c r="IC19" s="977"/>
      <c r="ID19" s="977"/>
      <c r="IE19" s="973"/>
      <c r="IF19" s="973"/>
      <c r="IG19" s="973"/>
      <c r="IH19" s="965"/>
      <c r="II19" s="972"/>
      <c r="IJ19" s="972"/>
      <c r="IK19" s="966"/>
      <c r="IL19" s="973"/>
      <c r="IM19" s="974"/>
      <c r="IN19" s="975"/>
      <c r="IO19" s="976"/>
      <c r="IP19" s="977"/>
      <c r="IQ19" s="977"/>
      <c r="IR19" s="973"/>
      <c r="IS19" s="973"/>
      <c r="IT19" s="973"/>
      <c r="IU19" s="965"/>
      <c r="IV19" s="972"/>
      <c r="IW19" s="972"/>
      <c r="IX19" s="966"/>
      <c r="IY19" s="973"/>
      <c r="IZ19" s="974"/>
      <c r="JA19" s="975"/>
      <c r="JB19" s="976"/>
      <c r="JC19" s="977"/>
      <c r="JD19" s="977"/>
      <c r="JE19" s="973"/>
      <c r="JF19" s="973"/>
      <c r="JG19" s="973"/>
      <c r="JH19" s="965"/>
      <c r="JI19" s="972"/>
      <c r="JJ19" s="972"/>
      <c r="JK19" s="966"/>
      <c r="JL19" s="973"/>
      <c r="JM19" s="974"/>
      <c r="JN19" s="975"/>
      <c r="JO19" s="976"/>
      <c r="JP19" s="977"/>
      <c r="JQ19" s="977"/>
      <c r="JR19" s="973"/>
      <c r="JS19" s="973"/>
      <c r="JT19" s="973"/>
      <c r="JU19" s="965"/>
      <c r="JV19" s="972"/>
      <c r="JW19" s="972"/>
      <c r="JX19" s="966"/>
      <c r="JY19" s="973"/>
      <c r="JZ19" s="974"/>
      <c r="KA19" s="975"/>
      <c r="KB19" s="976"/>
      <c r="KC19" s="977"/>
      <c r="KD19" s="977"/>
      <c r="KE19" s="973"/>
      <c r="KF19" s="973"/>
      <c r="KG19" s="973"/>
      <c r="KH19" s="965"/>
      <c r="KI19" s="972"/>
      <c r="KJ19" s="972"/>
      <c r="KK19" s="966"/>
      <c r="KL19" s="973"/>
      <c r="KM19" s="974"/>
      <c r="KN19" s="975"/>
      <c r="KO19" s="976"/>
      <c r="KP19" s="977"/>
      <c r="KQ19" s="977"/>
      <c r="KR19" s="973"/>
      <c r="KS19" s="973"/>
      <c r="KT19" s="973"/>
      <c r="KU19" s="965"/>
      <c r="KV19" s="972"/>
      <c r="KW19" s="972"/>
      <c r="KX19" s="966"/>
      <c r="KY19" s="973"/>
      <c r="KZ19" s="974"/>
      <c r="LA19" s="975"/>
      <c r="LB19" s="976"/>
      <c r="LC19" s="977"/>
      <c r="LD19" s="977"/>
      <c r="LE19" s="973"/>
      <c r="LF19" s="973"/>
      <c r="LG19" s="973"/>
      <c r="LH19" s="965"/>
      <c r="LI19" s="972"/>
      <c r="LJ19" s="972"/>
      <c r="LK19" s="966"/>
      <c r="LL19" s="973"/>
      <c r="LM19" s="974"/>
      <c r="LN19" s="975"/>
      <c r="LO19" s="976"/>
      <c r="LP19" s="977"/>
      <c r="LQ19" s="977"/>
      <c r="LR19" s="973"/>
      <c r="LS19" s="973"/>
      <c r="LT19" s="973"/>
      <c r="LU19" s="965"/>
      <c r="LV19" s="972"/>
      <c r="LW19" s="972"/>
      <c r="LX19" s="966"/>
      <c r="LY19" s="973"/>
      <c r="LZ19" s="974"/>
      <c r="MA19" s="975"/>
      <c r="MB19" s="976"/>
      <c r="MC19" s="977"/>
      <c r="MD19" s="977"/>
      <c r="ME19" s="973"/>
      <c r="MF19" s="973"/>
      <c r="MG19" s="973"/>
    </row>
    <row r="20" spans="2:345">
      <c r="B20" s="196">
        <f>INDEX(Groups!$C$7:$C$65,MATCH(C20,Groups!$D$7:$D$65,0))</f>
        <v>6</v>
      </c>
      <c r="C20" s="197" t="str">
        <f>CalcC!$P$22</f>
        <v>Brazilië</v>
      </c>
      <c r="D20" s="198">
        <f>INDEX(Groups!$C$7:$C$65,MATCH(E20,Groups!$D$7:$D$65,0))</f>
        <v>8</v>
      </c>
      <c r="E20" s="197" t="str">
        <f>CalcC!$Q$22</f>
        <v>Marokko</v>
      </c>
      <c r="F20" s="199" t="str">
        <f>CalcC!$R$22</f>
        <v/>
      </c>
      <c r="G20" s="200" t="str">
        <f>CalcC!$S$22</f>
        <v/>
      </c>
      <c r="I20" s="196">
        <f t="shared" si="0"/>
        <v>6</v>
      </c>
      <c r="J20" s="197" t="str">
        <f t="shared" ref="J20:J25" si="10">$C20</f>
        <v>Brazilië</v>
      </c>
      <c r="K20" s="198">
        <f t="shared" si="1"/>
        <v>8</v>
      </c>
      <c r="L20" s="197" t="str">
        <f t="shared" ref="L20:L25" si="11">$E20</f>
        <v>Marokko</v>
      </c>
      <c r="M20" s="232"/>
      <c r="N20" s="232"/>
      <c r="O20" s="227"/>
      <c r="P20" s="198" t="str">
        <f t="shared" ref="P20:P25" si="12">IF(($F20&lt;&gt;"")*($G20&lt;&gt;"")*(M20&lt;&gt;"")*(N20&lt;&gt;""),($F20&gt;$G20)*(M20&gt;N20)+($F20=$G20)*(M20=N20)+($F20&lt;$G20)*(M20&lt;N20),"")</f>
        <v/>
      </c>
      <c r="Q20" s="198" t="str">
        <f>IF((P20&lt;&gt;""),IF(OR($F20&lt;&gt;$G20,PrSettings!$M$4="●"),(($F20-$G20)=(M20-N20))*1,0),"")</f>
        <v/>
      </c>
      <c r="R20" s="198" t="str">
        <f t="shared" ref="R20:R25" si="13">IF((P20&lt;&gt;""),($F20=M20)*($G20=N20),"")</f>
        <v/>
      </c>
      <c r="S20" s="198" t="str">
        <f>IF(P20&lt;&gt;"",IF(ABS($F20-$G20)&gt;=PrSettings!$M$7,(ABS($F20-$G20-M20+N20)&lt;=1)*1,IF(AND(P20,$F20=$G20,$F20&gt;=PrSettings!$M$6),(ABS(M20-$F20)&lt;=1)*1,IF(AND(P20,$F20+$G20&gt;=PrSettings!$M$8),(ABS(M20-$F20)+ABS(N20-$G20)&lt;=1)*1,""))),"")</f>
        <v/>
      </c>
      <c r="T20" s="988"/>
      <c r="U20" s="965"/>
      <c r="V20" s="966"/>
      <c r="W20" s="973"/>
      <c r="X20" s="966"/>
      <c r="Y20" s="973"/>
      <c r="Z20" s="978"/>
      <c r="AA20" s="978"/>
      <c r="AB20" s="966"/>
      <c r="AC20" s="966"/>
      <c r="AD20" s="966"/>
      <c r="AE20" s="966"/>
      <c r="AF20" s="966"/>
      <c r="AG20" s="966"/>
      <c r="AH20" s="965"/>
      <c r="AI20" s="966"/>
      <c r="AJ20" s="973"/>
      <c r="AK20" s="966"/>
      <c r="AL20" s="973"/>
      <c r="AM20" s="978"/>
      <c r="AN20" s="978"/>
      <c r="AO20" s="966"/>
      <c r="AP20" s="966"/>
      <c r="AQ20" s="966"/>
      <c r="AR20" s="966"/>
      <c r="AS20" s="966"/>
      <c r="AT20" s="966"/>
      <c r="AU20" s="965"/>
      <c r="AV20" s="966"/>
      <c r="AW20" s="973"/>
      <c r="AX20" s="966"/>
      <c r="AY20" s="973"/>
      <c r="AZ20" s="978"/>
      <c r="BA20" s="978"/>
      <c r="BB20" s="966"/>
      <c r="BC20" s="966"/>
      <c r="BD20" s="966"/>
      <c r="BE20" s="966"/>
      <c r="BF20" s="966"/>
      <c r="BG20" s="966"/>
      <c r="BH20" s="965"/>
      <c r="BI20" s="966"/>
      <c r="BJ20" s="973"/>
      <c r="BK20" s="966"/>
      <c r="BL20" s="973"/>
      <c r="BM20" s="978"/>
      <c r="BN20" s="978"/>
      <c r="BO20" s="966"/>
      <c r="BP20" s="966"/>
      <c r="BQ20" s="966"/>
      <c r="BR20" s="966"/>
      <c r="BS20" s="966"/>
      <c r="BT20" s="966"/>
      <c r="BU20" s="965"/>
      <c r="BV20" s="966"/>
      <c r="BW20" s="973"/>
      <c r="BX20" s="966"/>
      <c r="BY20" s="973"/>
      <c r="BZ20" s="978"/>
      <c r="CA20" s="978"/>
      <c r="CB20" s="966"/>
      <c r="CC20" s="966"/>
      <c r="CD20" s="966"/>
      <c r="CE20" s="966"/>
      <c r="CF20" s="966"/>
      <c r="CG20" s="966"/>
      <c r="CH20" s="965"/>
      <c r="CI20" s="966"/>
      <c r="CJ20" s="973"/>
      <c r="CK20" s="966"/>
      <c r="CL20" s="973"/>
      <c r="CM20" s="978"/>
      <c r="CN20" s="978"/>
      <c r="CO20" s="966"/>
      <c r="CP20" s="966"/>
      <c r="CQ20" s="966"/>
      <c r="CR20" s="966"/>
      <c r="CS20" s="966"/>
      <c r="CT20" s="966"/>
      <c r="CU20" s="965"/>
      <c r="CV20" s="966"/>
      <c r="CW20" s="973"/>
      <c r="CX20" s="966"/>
      <c r="CY20" s="973"/>
      <c r="CZ20" s="978"/>
      <c r="DA20" s="978"/>
      <c r="DB20" s="966"/>
      <c r="DC20" s="966"/>
      <c r="DD20" s="966"/>
      <c r="DE20" s="966"/>
      <c r="DF20" s="966"/>
      <c r="DG20" s="966"/>
      <c r="DH20" s="965"/>
      <c r="DI20" s="966"/>
      <c r="DJ20" s="973"/>
      <c r="DK20" s="966"/>
      <c r="DL20" s="973"/>
      <c r="DM20" s="978"/>
      <c r="DN20" s="978"/>
      <c r="DO20" s="966"/>
      <c r="DP20" s="966"/>
      <c r="DQ20" s="966"/>
      <c r="DR20" s="966"/>
      <c r="DS20" s="966"/>
      <c r="DT20" s="966"/>
      <c r="DU20" s="965"/>
      <c r="DV20" s="966"/>
      <c r="DW20" s="973"/>
      <c r="DX20" s="966"/>
      <c r="DY20" s="973"/>
      <c r="DZ20" s="978"/>
      <c r="EA20" s="978"/>
      <c r="EB20" s="966"/>
      <c r="EC20" s="966"/>
      <c r="ED20" s="966"/>
      <c r="EE20" s="966"/>
      <c r="EF20" s="966"/>
      <c r="EG20" s="966"/>
      <c r="EH20" s="965"/>
      <c r="EI20" s="966"/>
      <c r="EJ20" s="973"/>
      <c r="EK20" s="966"/>
      <c r="EL20" s="973"/>
      <c r="EM20" s="978"/>
      <c r="EN20" s="978"/>
      <c r="EO20" s="966"/>
      <c r="EP20" s="966"/>
      <c r="EQ20" s="966"/>
      <c r="ER20" s="966"/>
      <c r="ES20" s="966"/>
      <c r="ET20" s="966"/>
      <c r="EU20" s="965"/>
      <c r="EV20" s="966"/>
      <c r="EW20" s="973"/>
      <c r="EX20" s="966"/>
      <c r="EY20" s="973"/>
      <c r="EZ20" s="978"/>
      <c r="FA20" s="978"/>
      <c r="FB20" s="966"/>
      <c r="FC20" s="966"/>
      <c r="FD20" s="966"/>
      <c r="FE20" s="966"/>
      <c r="FF20" s="966"/>
      <c r="FG20" s="966"/>
      <c r="FH20" s="965"/>
      <c r="FI20" s="966"/>
      <c r="FJ20" s="973"/>
      <c r="FK20" s="966"/>
      <c r="FL20" s="973"/>
      <c r="FM20" s="978"/>
      <c r="FN20" s="978"/>
      <c r="FO20" s="966"/>
      <c r="FP20" s="966"/>
      <c r="FQ20" s="966"/>
      <c r="FR20" s="966"/>
      <c r="FS20" s="966"/>
      <c r="FT20" s="966"/>
      <c r="FU20" s="965"/>
      <c r="FV20" s="966"/>
      <c r="FW20" s="973"/>
      <c r="FX20" s="966"/>
      <c r="FY20" s="973"/>
      <c r="FZ20" s="978"/>
      <c r="GA20" s="978"/>
      <c r="GB20" s="966"/>
      <c r="GC20" s="966"/>
      <c r="GD20" s="966"/>
      <c r="GE20" s="966"/>
      <c r="GF20" s="966"/>
      <c r="GG20" s="966"/>
      <c r="GH20" s="965"/>
      <c r="GI20" s="966"/>
      <c r="GJ20" s="973"/>
      <c r="GK20" s="966"/>
      <c r="GL20" s="973"/>
      <c r="GM20" s="978"/>
      <c r="GN20" s="978"/>
      <c r="GO20" s="966"/>
      <c r="GP20" s="966"/>
      <c r="GQ20" s="966"/>
      <c r="GR20" s="966"/>
      <c r="GS20" s="966"/>
      <c r="GT20" s="966"/>
      <c r="GU20" s="965"/>
      <c r="GV20" s="966"/>
      <c r="GW20" s="973"/>
      <c r="GX20" s="966"/>
      <c r="GY20" s="973"/>
      <c r="GZ20" s="978"/>
      <c r="HA20" s="978"/>
      <c r="HB20" s="966"/>
      <c r="HC20" s="966"/>
      <c r="HD20" s="966"/>
      <c r="HE20" s="966"/>
      <c r="HF20" s="966"/>
      <c r="HG20" s="966"/>
      <c r="HH20" s="965"/>
      <c r="HI20" s="966"/>
      <c r="HJ20" s="973"/>
      <c r="HK20" s="966"/>
      <c r="HL20" s="973"/>
      <c r="HM20" s="978"/>
      <c r="HN20" s="978"/>
      <c r="HO20" s="966"/>
      <c r="HP20" s="966"/>
      <c r="HQ20" s="966"/>
      <c r="HR20" s="966"/>
      <c r="HS20" s="966"/>
      <c r="HT20" s="966"/>
      <c r="HU20" s="965"/>
      <c r="HV20" s="966"/>
      <c r="HW20" s="973"/>
      <c r="HX20" s="966"/>
      <c r="HY20" s="973"/>
      <c r="HZ20" s="978"/>
      <c r="IA20" s="978"/>
      <c r="IB20" s="966"/>
      <c r="IC20" s="966"/>
      <c r="ID20" s="966"/>
      <c r="IE20" s="966"/>
      <c r="IF20" s="966"/>
      <c r="IG20" s="966"/>
      <c r="IH20" s="965"/>
      <c r="II20" s="966"/>
      <c r="IJ20" s="973"/>
      <c r="IK20" s="966"/>
      <c r="IL20" s="973"/>
      <c r="IM20" s="978"/>
      <c r="IN20" s="978"/>
      <c r="IO20" s="966"/>
      <c r="IP20" s="966"/>
      <c r="IQ20" s="966"/>
      <c r="IR20" s="966"/>
      <c r="IS20" s="966"/>
      <c r="IT20" s="966"/>
      <c r="IU20" s="965"/>
      <c r="IV20" s="966"/>
      <c r="IW20" s="973"/>
      <c r="IX20" s="966"/>
      <c r="IY20" s="973"/>
      <c r="IZ20" s="978"/>
      <c r="JA20" s="978"/>
      <c r="JB20" s="966"/>
      <c r="JC20" s="966"/>
      <c r="JD20" s="966"/>
      <c r="JE20" s="966"/>
      <c r="JF20" s="966"/>
      <c r="JG20" s="966"/>
      <c r="JH20" s="965"/>
      <c r="JI20" s="966"/>
      <c r="JJ20" s="973"/>
      <c r="JK20" s="966"/>
      <c r="JL20" s="973"/>
      <c r="JM20" s="978"/>
      <c r="JN20" s="978"/>
      <c r="JO20" s="966"/>
      <c r="JP20" s="966"/>
      <c r="JQ20" s="966"/>
      <c r="JR20" s="966"/>
      <c r="JS20" s="966"/>
      <c r="JT20" s="966"/>
      <c r="JU20" s="965"/>
      <c r="JV20" s="966"/>
      <c r="JW20" s="973"/>
      <c r="JX20" s="966"/>
      <c r="JY20" s="973"/>
      <c r="JZ20" s="978"/>
      <c r="KA20" s="978"/>
      <c r="KB20" s="966"/>
      <c r="KC20" s="966"/>
      <c r="KD20" s="966"/>
      <c r="KE20" s="966"/>
      <c r="KF20" s="966"/>
      <c r="KG20" s="966"/>
      <c r="KH20" s="965"/>
      <c r="KI20" s="966"/>
      <c r="KJ20" s="973"/>
      <c r="KK20" s="966"/>
      <c r="KL20" s="973"/>
      <c r="KM20" s="978"/>
      <c r="KN20" s="978"/>
      <c r="KO20" s="966"/>
      <c r="KP20" s="966"/>
      <c r="KQ20" s="966"/>
      <c r="KR20" s="966"/>
      <c r="KS20" s="966"/>
      <c r="KT20" s="966"/>
      <c r="KU20" s="965"/>
      <c r="KV20" s="966"/>
      <c r="KW20" s="973"/>
      <c r="KX20" s="966"/>
      <c r="KY20" s="973"/>
      <c r="KZ20" s="978"/>
      <c r="LA20" s="978"/>
      <c r="LB20" s="966"/>
      <c r="LC20" s="966"/>
      <c r="LD20" s="966"/>
      <c r="LE20" s="966"/>
      <c r="LF20" s="966"/>
      <c r="LG20" s="966"/>
      <c r="LH20" s="965"/>
      <c r="LI20" s="966"/>
      <c r="LJ20" s="973"/>
      <c r="LK20" s="966"/>
      <c r="LL20" s="973"/>
      <c r="LM20" s="978"/>
      <c r="LN20" s="978"/>
      <c r="LO20" s="966"/>
      <c r="LP20" s="966"/>
      <c r="LQ20" s="966"/>
      <c r="LR20" s="966"/>
      <c r="LS20" s="966"/>
      <c r="LT20" s="966"/>
      <c r="LU20" s="965"/>
      <c r="LV20" s="966"/>
      <c r="LW20" s="973"/>
      <c r="LX20" s="966"/>
      <c r="LY20" s="973"/>
      <c r="LZ20" s="978"/>
      <c r="MA20" s="978"/>
      <c r="MB20" s="966"/>
      <c r="MC20" s="966"/>
      <c r="MD20" s="966"/>
      <c r="ME20" s="966"/>
      <c r="MF20" s="966"/>
      <c r="MG20" s="966"/>
    </row>
    <row r="21" spans="2:345">
      <c r="B21" s="196">
        <f>INDEX(Groups!$C$7:$C$65,MATCH(C21,Groups!$D$7:$D$65,0))</f>
        <v>83</v>
      </c>
      <c r="C21" s="197" t="str">
        <f>CalcC!$P$23</f>
        <v>Haïti</v>
      </c>
      <c r="D21" s="198">
        <f>INDEX(Groups!$C$7:$C$65,MATCH(E21,Groups!$D$7:$D$65,0))</f>
        <v>43</v>
      </c>
      <c r="E21" s="197" t="str">
        <f>CalcC!$Q$23</f>
        <v>Schotland</v>
      </c>
      <c r="F21" s="725" t="str">
        <f>CalcC!$R$23</f>
        <v/>
      </c>
      <c r="G21" s="200" t="str">
        <f>CalcC!$S$23</f>
        <v/>
      </c>
      <c r="I21" s="196">
        <f t="shared" si="0"/>
        <v>83</v>
      </c>
      <c r="J21" s="197" t="str">
        <f t="shared" si="10"/>
        <v>Haïti</v>
      </c>
      <c r="K21" s="198">
        <f t="shared" si="1"/>
        <v>43</v>
      </c>
      <c r="L21" s="197" t="str">
        <f t="shared" si="11"/>
        <v>Schotland</v>
      </c>
      <c r="M21" s="232"/>
      <c r="N21" s="232"/>
      <c r="O21" s="228"/>
      <c r="P21" s="198" t="str">
        <f t="shared" si="12"/>
        <v/>
      </c>
      <c r="Q21" s="198" t="str">
        <f>IF((P21&lt;&gt;""),IF(OR($F21&lt;&gt;$G21,PrSettings!$M$4="●"),(($F21-$G21)=(M21-N21))*1,0),"")</f>
        <v/>
      </c>
      <c r="R21" s="198" t="str">
        <f t="shared" si="13"/>
        <v/>
      </c>
      <c r="S21" s="198" t="str">
        <f>IF(P21&lt;&gt;"",IF(ABS($F21-$G21)&gt;=PrSettings!$M$7,(ABS($F21-$G21-M21+N21)&lt;=1)*1,IF(AND(P21,$F21=$G21,$F21&gt;=PrSettings!$M$6),(ABS(M21-$F21)&lt;=1)*1,IF(AND(P21,$F21+$G21&gt;=PrSettings!$M$8),(ABS(M21-$F21)+ABS(N21-$G21)&lt;=1)*1,""))),"")</f>
        <v/>
      </c>
      <c r="T21" s="989"/>
      <c r="U21" s="965"/>
      <c r="V21" s="966"/>
      <c r="W21" s="973"/>
      <c r="X21" s="966"/>
      <c r="Y21" s="973"/>
      <c r="Z21" s="978"/>
      <c r="AA21" s="978"/>
      <c r="AB21" s="966"/>
      <c r="AC21" s="966"/>
      <c r="AD21" s="966"/>
      <c r="AE21" s="966"/>
      <c r="AF21" s="966"/>
      <c r="AG21" s="966"/>
      <c r="AH21" s="965"/>
      <c r="AI21" s="966"/>
      <c r="AJ21" s="973"/>
      <c r="AK21" s="966"/>
      <c r="AL21" s="973"/>
      <c r="AM21" s="978"/>
      <c r="AN21" s="978"/>
      <c r="AO21" s="966"/>
      <c r="AP21" s="966"/>
      <c r="AQ21" s="966"/>
      <c r="AR21" s="966"/>
      <c r="AS21" s="966"/>
      <c r="AT21" s="966"/>
      <c r="AU21" s="965"/>
      <c r="AV21" s="966"/>
      <c r="AW21" s="973"/>
      <c r="AX21" s="966"/>
      <c r="AY21" s="973"/>
      <c r="AZ21" s="978"/>
      <c r="BA21" s="978"/>
      <c r="BB21" s="966"/>
      <c r="BC21" s="966"/>
      <c r="BD21" s="966"/>
      <c r="BE21" s="966"/>
      <c r="BF21" s="966"/>
      <c r="BG21" s="966"/>
      <c r="BH21" s="965"/>
      <c r="BI21" s="966"/>
      <c r="BJ21" s="973"/>
      <c r="BK21" s="966"/>
      <c r="BL21" s="973"/>
      <c r="BM21" s="978"/>
      <c r="BN21" s="978"/>
      <c r="BO21" s="966"/>
      <c r="BP21" s="966"/>
      <c r="BQ21" s="966"/>
      <c r="BR21" s="966"/>
      <c r="BS21" s="966"/>
      <c r="BT21" s="966"/>
      <c r="BU21" s="965"/>
      <c r="BV21" s="966"/>
      <c r="BW21" s="973"/>
      <c r="BX21" s="966"/>
      <c r="BY21" s="973"/>
      <c r="BZ21" s="978"/>
      <c r="CA21" s="978"/>
      <c r="CB21" s="966"/>
      <c r="CC21" s="966"/>
      <c r="CD21" s="966"/>
      <c r="CE21" s="966"/>
      <c r="CF21" s="966"/>
      <c r="CG21" s="966"/>
      <c r="CH21" s="965"/>
      <c r="CI21" s="966"/>
      <c r="CJ21" s="973"/>
      <c r="CK21" s="966"/>
      <c r="CL21" s="973"/>
      <c r="CM21" s="978"/>
      <c r="CN21" s="978"/>
      <c r="CO21" s="966"/>
      <c r="CP21" s="966"/>
      <c r="CQ21" s="966"/>
      <c r="CR21" s="966"/>
      <c r="CS21" s="966"/>
      <c r="CT21" s="966"/>
      <c r="CU21" s="965"/>
      <c r="CV21" s="966"/>
      <c r="CW21" s="973"/>
      <c r="CX21" s="966"/>
      <c r="CY21" s="973"/>
      <c r="CZ21" s="978"/>
      <c r="DA21" s="978"/>
      <c r="DB21" s="966"/>
      <c r="DC21" s="966"/>
      <c r="DD21" s="966"/>
      <c r="DE21" s="966"/>
      <c r="DF21" s="966"/>
      <c r="DG21" s="966"/>
      <c r="DH21" s="965"/>
      <c r="DI21" s="966"/>
      <c r="DJ21" s="973"/>
      <c r="DK21" s="966"/>
      <c r="DL21" s="973"/>
      <c r="DM21" s="978"/>
      <c r="DN21" s="978"/>
      <c r="DO21" s="966"/>
      <c r="DP21" s="966"/>
      <c r="DQ21" s="966"/>
      <c r="DR21" s="966"/>
      <c r="DS21" s="966"/>
      <c r="DT21" s="966"/>
      <c r="DU21" s="965"/>
      <c r="DV21" s="966"/>
      <c r="DW21" s="973"/>
      <c r="DX21" s="966"/>
      <c r="DY21" s="973"/>
      <c r="DZ21" s="978"/>
      <c r="EA21" s="978"/>
      <c r="EB21" s="966"/>
      <c r="EC21" s="966"/>
      <c r="ED21" s="966"/>
      <c r="EE21" s="966"/>
      <c r="EF21" s="966"/>
      <c r="EG21" s="966"/>
      <c r="EH21" s="965"/>
      <c r="EI21" s="966"/>
      <c r="EJ21" s="973"/>
      <c r="EK21" s="966"/>
      <c r="EL21" s="973"/>
      <c r="EM21" s="978"/>
      <c r="EN21" s="978"/>
      <c r="EO21" s="966"/>
      <c r="EP21" s="966"/>
      <c r="EQ21" s="966"/>
      <c r="ER21" s="966"/>
      <c r="ES21" s="966"/>
      <c r="ET21" s="966"/>
      <c r="EU21" s="965"/>
      <c r="EV21" s="966"/>
      <c r="EW21" s="973"/>
      <c r="EX21" s="966"/>
      <c r="EY21" s="973"/>
      <c r="EZ21" s="978"/>
      <c r="FA21" s="978"/>
      <c r="FB21" s="966"/>
      <c r="FC21" s="966"/>
      <c r="FD21" s="966"/>
      <c r="FE21" s="966"/>
      <c r="FF21" s="966"/>
      <c r="FG21" s="966"/>
      <c r="FH21" s="965"/>
      <c r="FI21" s="966"/>
      <c r="FJ21" s="973"/>
      <c r="FK21" s="966"/>
      <c r="FL21" s="973"/>
      <c r="FM21" s="978"/>
      <c r="FN21" s="978"/>
      <c r="FO21" s="966"/>
      <c r="FP21" s="966"/>
      <c r="FQ21" s="966"/>
      <c r="FR21" s="966"/>
      <c r="FS21" s="966"/>
      <c r="FT21" s="966"/>
      <c r="FU21" s="965"/>
      <c r="FV21" s="966"/>
      <c r="FW21" s="973"/>
      <c r="FX21" s="966"/>
      <c r="FY21" s="973"/>
      <c r="FZ21" s="978"/>
      <c r="GA21" s="978"/>
      <c r="GB21" s="966"/>
      <c r="GC21" s="966"/>
      <c r="GD21" s="966"/>
      <c r="GE21" s="966"/>
      <c r="GF21" s="966"/>
      <c r="GG21" s="966"/>
      <c r="GH21" s="965"/>
      <c r="GI21" s="966"/>
      <c r="GJ21" s="973"/>
      <c r="GK21" s="966"/>
      <c r="GL21" s="973"/>
      <c r="GM21" s="978"/>
      <c r="GN21" s="978"/>
      <c r="GO21" s="966"/>
      <c r="GP21" s="966"/>
      <c r="GQ21" s="966"/>
      <c r="GR21" s="966"/>
      <c r="GS21" s="966"/>
      <c r="GT21" s="966"/>
      <c r="GU21" s="965"/>
      <c r="GV21" s="966"/>
      <c r="GW21" s="973"/>
      <c r="GX21" s="966"/>
      <c r="GY21" s="973"/>
      <c r="GZ21" s="978"/>
      <c r="HA21" s="978"/>
      <c r="HB21" s="966"/>
      <c r="HC21" s="966"/>
      <c r="HD21" s="966"/>
      <c r="HE21" s="966"/>
      <c r="HF21" s="966"/>
      <c r="HG21" s="966"/>
      <c r="HH21" s="965"/>
      <c r="HI21" s="966"/>
      <c r="HJ21" s="973"/>
      <c r="HK21" s="966"/>
      <c r="HL21" s="973"/>
      <c r="HM21" s="978"/>
      <c r="HN21" s="978"/>
      <c r="HO21" s="966"/>
      <c r="HP21" s="966"/>
      <c r="HQ21" s="966"/>
      <c r="HR21" s="966"/>
      <c r="HS21" s="966"/>
      <c r="HT21" s="966"/>
      <c r="HU21" s="965"/>
      <c r="HV21" s="966"/>
      <c r="HW21" s="973"/>
      <c r="HX21" s="966"/>
      <c r="HY21" s="973"/>
      <c r="HZ21" s="978"/>
      <c r="IA21" s="978"/>
      <c r="IB21" s="966"/>
      <c r="IC21" s="966"/>
      <c r="ID21" s="966"/>
      <c r="IE21" s="966"/>
      <c r="IF21" s="966"/>
      <c r="IG21" s="966"/>
      <c r="IH21" s="965"/>
      <c r="II21" s="966"/>
      <c r="IJ21" s="973"/>
      <c r="IK21" s="966"/>
      <c r="IL21" s="973"/>
      <c r="IM21" s="978"/>
      <c r="IN21" s="978"/>
      <c r="IO21" s="966"/>
      <c r="IP21" s="966"/>
      <c r="IQ21" s="966"/>
      <c r="IR21" s="966"/>
      <c r="IS21" s="966"/>
      <c r="IT21" s="966"/>
      <c r="IU21" s="965"/>
      <c r="IV21" s="966"/>
      <c r="IW21" s="973"/>
      <c r="IX21" s="966"/>
      <c r="IY21" s="973"/>
      <c r="IZ21" s="978"/>
      <c r="JA21" s="978"/>
      <c r="JB21" s="966"/>
      <c r="JC21" s="966"/>
      <c r="JD21" s="966"/>
      <c r="JE21" s="966"/>
      <c r="JF21" s="966"/>
      <c r="JG21" s="966"/>
      <c r="JH21" s="965"/>
      <c r="JI21" s="966"/>
      <c r="JJ21" s="973"/>
      <c r="JK21" s="966"/>
      <c r="JL21" s="973"/>
      <c r="JM21" s="978"/>
      <c r="JN21" s="978"/>
      <c r="JO21" s="966"/>
      <c r="JP21" s="966"/>
      <c r="JQ21" s="966"/>
      <c r="JR21" s="966"/>
      <c r="JS21" s="966"/>
      <c r="JT21" s="966"/>
      <c r="JU21" s="965"/>
      <c r="JV21" s="966"/>
      <c r="JW21" s="973"/>
      <c r="JX21" s="966"/>
      <c r="JY21" s="973"/>
      <c r="JZ21" s="978"/>
      <c r="KA21" s="978"/>
      <c r="KB21" s="966"/>
      <c r="KC21" s="966"/>
      <c r="KD21" s="966"/>
      <c r="KE21" s="966"/>
      <c r="KF21" s="966"/>
      <c r="KG21" s="966"/>
      <c r="KH21" s="965"/>
      <c r="KI21" s="966"/>
      <c r="KJ21" s="973"/>
      <c r="KK21" s="966"/>
      <c r="KL21" s="973"/>
      <c r="KM21" s="978"/>
      <c r="KN21" s="978"/>
      <c r="KO21" s="966"/>
      <c r="KP21" s="966"/>
      <c r="KQ21" s="966"/>
      <c r="KR21" s="966"/>
      <c r="KS21" s="966"/>
      <c r="KT21" s="966"/>
      <c r="KU21" s="965"/>
      <c r="KV21" s="966"/>
      <c r="KW21" s="973"/>
      <c r="KX21" s="966"/>
      <c r="KY21" s="973"/>
      <c r="KZ21" s="978"/>
      <c r="LA21" s="978"/>
      <c r="LB21" s="966"/>
      <c r="LC21" s="966"/>
      <c r="LD21" s="966"/>
      <c r="LE21" s="966"/>
      <c r="LF21" s="966"/>
      <c r="LG21" s="966"/>
      <c r="LH21" s="965"/>
      <c r="LI21" s="966"/>
      <c r="LJ21" s="973"/>
      <c r="LK21" s="966"/>
      <c r="LL21" s="973"/>
      <c r="LM21" s="978"/>
      <c r="LN21" s="978"/>
      <c r="LO21" s="966"/>
      <c r="LP21" s="966"/>
      <c r="LQ21" s="966"/>
      <c r="LR21" s="966"/>
      <c r="LS21" s="966"/>
      <c r="LT21" s="966"/>
      <c r="LU21" s="965"/>
      <c r="LV21" s="966"/>
      <c r="LW21" s="973"/>
      <c r="LX21" s="966"/>
      <c r="LY21" s="973"/>
      <c r="LZ21" s="978"/>
      <c r="MA21" s="978"/>
      <c r="MB21" s="966"/>
      <c r="MC21" s="966"/>
      <c r="MD21" s="966"/>
      <c r="ME21" s="966"/>
      <c r="MF21" s="966"/>
      <c r="MG21" s="966"/>
    </row>
    <row r="22" spans="2:345">
      <c r="B22" s="196">
        <f>INDEX(Groups!$C$7:$C$65,MATCH(C22,Groups!$D$7:$D$65,0))</f>
        <v>43</v>
      </c>
      <c r="C22" s="197" t="str">
        <f>CalcC!$P$24</f>
        <v>Schotland</v>
      </c>
      <c r="D22" s="198">
        <f>INDEX(Groups!$C$7:$C$65,MATCH(E22,Groups!$D$7:$D$65,0))</f>
        <v>8</v>
      </c>
      <c r="E22" s="197" t="str">
        <f>CalcC!$Q$24</f>
        <v>Marokko</v>
      </c>
      <c r="F22" s="199" t="str">
        <f>CalcC!$R$24</f>
        <v/>
      </c>
      <c r="G22" s="200" t="str">
        <f>CalcC!$S$24</f>
        <v/>
      </c>
      <c r="I22" s="196">
        <f t="shared" si="0"/>
        <v>43</v>
      </c>
      <c r="J22" s="197" t="str">
        <f t="shared" si="10"/>
        <v>Schotland</v>
      </c>
      <c r="K22" s="198">
        <f t="shared" si="1"/>
        <v>8</v>
      </c>
      <c r="L22" s="197" t="str">
        <f t="shared" si="11"/>
        <v>Marokko</v>
      </c>
      <c r="M22" s="232"/>
      <c r="N22" s="232"/>
      <c r="O22" s="228"/>
      <c r="P22" s="198" t="str">
        <f t="shared" si="12"/>
        <v/>
      </c>
      <c r="Q22" s="198" t="str">
        <f>IF((P22&lt;&gt;""),IF(OR($F22&lt;&gt;$G22,PrSettings!$M$4="●"),(($F22-$G22)=(M22-N22))*1,0),"")</f>
        <v/>
      </c>
      <c r="R22" s="198" t="str">
        <f t="shared" si="13"/>
        <v/>
      </c>
      <c r="S22" s="198" t="str">
        <f>IF(P22&lt;&gt;"",IF(ABS($F22-$G22)&gt;=PrSettings!$M$7,(ABS($F22-$G22-M22+N22)&lt;=1)*1,IF(AND(P22,$F22=$G22,$F22&gt;=PrSettings!$M$6),(ABS(M22-$F22)&lt;=1)*1,IF(AND(P22,$F22+$G22&gt;=PrSettings!$M$8),(ABS(M22-$F22)+ABS(N22-$G22)&lt;=1)*1,""))),"")</f>
        <v/>
      </c>
      <c r="T22" s="989"/>
      <c r="U22" s="965"/>
      <c r="V22" s="966"/>
      <c r="W22" s="973"/>
      <c r="X22" s="966"/>
      <c r="Y22" s="973"/>
      <c r="Z22" s="978"/>
      <c r="AA22" s="978"/>
      <c r="AB22" s="966"/>
      <c r="AC22" s="966"/>
      <c r="AD22" s="966"/>
      <c r="AE22" s="966"/>
      <c r="AF22" s="966"/>
      <c r="AG22" s="966"/>
      <c r="AH22" s="965"/>
      <c r="AI22" s="966"/>
      <c r="AJ22" s="973"/>
      <c r="AK22" s="966"/>
      <c r="AL22" s="973"/>
      <c r="AM22" s="978"/>
      <c r="AN22" s="978"/>
      <c r="AO22" s="966"/>
      <c r="AP22" s="966"/>
      <c r="AQ22" s="966"/>
      <c r="AR22" s="966"/>
      <c r="AS22" s="966"/>
      <c r="AT22" s="966"/>
      <c r="AU22" s="965"/>
      <c r="AV22" s="966"/>
      <c r="AW22" s="973"/>
      <c r="AX22" s="966"/>
      <c r="AY22" s="973"/>
      <c r="AZ22" s="978"/>
      <c r="BA22" s="978"/>
      <c r="BB22" s="966"/>
      <c r="BC22" s="966"/>
      <c r="BD22" s="966"/>
      <c r="BE22" s="966"/>
      <c r="BF22" s="966"/>
      <c r="BG22" s="966"/>
      <c r="BH22" s="965"/>
      <c r="BI22" s="966"/>
      <c r="BJ22" s="973"/>
      <c r="BK22" s="966"/>
      <c r="BL22" s="973"/>
      <c r="BM22" s="978"/>
      <c r="BN22" s="978"/>
      <c r="BO22" s="966"/>
      <c r="BP22" s="966"/>
      <c r="BQ22" s="966"/>
      <c r="BR22" s="966"/>
      <c r="BS22" s="966"/>
      <c r="BT22" s="966"/>
      <c r="BU22" s="965"/>
      <c r="BV22" s="966"/>
      <c r="BW22" s="973"/>
      <c r="BX22" s="966"/>
      <c r="BY22" s="973"/>
      <c r="BZ22" s="978"/>
      <c r="CA22" s="978"/>
      <c r="CB22" s="966"/>
      <c r="CC22" s="966"/>
      <c r="CD22" s="966"/>
      <c r="CE22" s="966"/>
      <c r="CF22" s="966"/>
      <c r="CG22" s="966"/>
      <c r="CH22" s="965"/>
      <c r="CI22" s="966"/>
      <c r="CJ22" s="973"/>
      <c r="CK22" s="966"/>
      <c r="CL22" s="973"/>
      <c r="CM22" s="978"/>
      <c r="CN22" s="978"/>
      <c r="CO22" s="966"/>
      <c r="CP22" s="966"/>
      <c r="CQ22" s="966"/>
      <c r="CR22" s="966"/>
      <c r="CS22" s="966"/>
      <c r="CT22" s="966"/>
      <c r="CU22" s="965"/>
      <c r="CV22" s="966"/>
      <c r="CW22" s="973"/>
      <c r="CX22" s="966"/>
      <c r="CY22" s="973"/>
      <c r="CZ22" s="978"/>
      <c r="DA22" s="978"/>
      <c r="DB22" s="966"/>
      <c r="DC22" s="966"/>
      <c r="DD22" s="966"/>
      <c r="DE22" s="966"/>
      <c r="DF22" s="966"/>
      <c r="DG22" s="966"/>
      <c r="DH22" s="965"/>
      <c r="DI22" s="966"/>
      <c r="DJ22" s="973"/>
      <c r="DK22" s="966"/>
      <c r="DL22" s="973"/>
      <c r="DM22" s="978"/>
      <c r="DN22" s="978"/>
      <c r="DO22" s="966"/>
      <c r="DP22" s="966"/>
      <c r="DQ22" s="966"/>
      <c r="DR22" s="966"/>
      <c r="DS22" s="966"/>
      <c r="DT22" s="966"/>
      <c r="DU22" s="965"/>
      <c r="DV22" s="966"/>
      <c r="DW22" s="973"/>
      <c r="DX22" s="966"/>
      <c r="DY22" s="973"/>
      <c r="DZ22" s="978"/>
      <c r="EA22" s="978"/>
      <c r="EB22" s="966"/>
      <c r="EC22" s="966"/>
      <c r="ED22" s="966"/>
      <c r="EE22" s="966"/>
      <c r="EF22" s="966"/>
      <c r="EG22" s="966"/>
      <c r="EH22" s="965"/>
      <c r="EI22" s="966"/>
      <c r="EJ22" s="973"/>
      <c r="EK22" s="966"/>
      <c r="EL22" s="973"/>
      <c r="EM22" s="978"/>
      <c r="EN22" s="978"/>
      <c r="EO22" s="966"/>
      <c r="EP22" s="966"/>
      <c r="EQ22" s="966"/>
      <c r="ER22" s="966"/>
      <c r="ES22" s="966"/>
      <c r="ET22" s="966"/>
      <c r="EU22" s="965"/>
      <c r="EV22" s="966"/>
      <c r="EW22" s="973"/>
      <c r="EX22" s="966"/>
      <c r="EY22" s="973"/>
      <c r="EZ22" s="978"/>
      <c r="FA22" s="978"/>
      <c r="FB22" s="966"/>
      <c r="FC22" s="966"/>
      <c r="FD22" s="966"/>
      <c r="FE22" s="966"/>
      <c r="FF22" s="966"/>
      <c r="FG22" s="966"/>
      <c r="FH22" s="965"/>
      <c r="FI22" s="966"/>
      <c r="FJ22" s="973"/>
      <c r="FK22" s="966"/>
      <c r="FL22" s="973"/>
      <c r="FM22" s="978"/>
      <c r="FN22" s="978"/>
      <c r="FO22" s="966"/>
      <c r="FP22" s="966"/>
      <c r="FQ22" s="966"/>
      <c r="FR22" s="966"/>
      <c r="FS22" s="966"/>
      <c r="FT22" s="966"/>
      <c r="FU22" s="965"/>
      <c r="FV22" s="966"/>
      <c r="FW22" s="973"/>
      <c r="FX22" s="966"/>
      <c r="FY22" s="973"/>
      <c r="FZ22" s="978"/>
      <c r="GA22" s="978"/>
      <c r="GB22" s="966"/>
      <c r="GC22" s="966"/>
      <c r="GD22" s="966"/>
      <c r="GE22" s="966"/>
      <c r="GF22" s="966"/>
      <c r="GG22" s="966"/>
      <c r="GH22" s="965"/>
      <c r="GI22" s="966"/>
      <c r="GJ22" s="973"/>
      <c r="GK22" s="966"/>
      <c r="GL22" s="973"/>
      <c r="GM22" s="978"/>
      <c r="GN22" s="978"/>
      <c r="GO22" s="966"/>
      <c r="GP22" s="966"/>
      <c r="GQ22" s="966"/>
      <c r="GR22" s="966"/>
      <c r="GS22" s="966"/>
      <c r="GT22" s="966"/>
      <c r="GU22" s="965"/>
      <c r="GV22" s="966"/>
      <c r="GW22" s="973"/>
      <c r="GX22" s="966"/>
      <c r="GY22" s="973"/>
      <c r="GZ22" s="978"/>
      <c r="HA22" s="978"/>
      <c r="HB22" s="966"/>
      <c r="HC22" s="966"/>
      <c r="HD22" s="966"/>
      <c r="HE22" s="966"/>
      <c r="HF22" s="966"/>
      <c r="HG22" s="966"/>
      <c r="HH22" s="965"/>
      <c r="HI22" s="966"/>
      <c r="HJ22" s="973"/>
      <c r="HK22" s="966"/>
      <c r="HL22" s="973"/>
      <c r="HM22" s="978"/>
      <c r="HN22" s="978"/>
      <c r="HO22" s="966"/>
      <c r="HP22" s="966"/>
      <c r="HQ22" s="966"/>
      <c r="HR22" s="966"/>
      <c r="HS22" s="966"/>
      <c r="HT22" s="966"/>
      <c r="HU22" s="965"/>
      <c r="HV22" s="966"/>
      <c r="HW22" s="973"/>
      <c r="HX22" s="966"/>
      <c r="HY22" s="973"/>
      <c r="HZ22" s="978"/>
      <c r="IA22" s="978"/>
      <c r="IB22" s="966"/>
      <c r="IC22" s="966"/>
      <c r="ID22" s="966"/>
      <c r="IE22" s="966"/>
      <c r="IF22" s="966"/>
      <c r="IG22" s="966"/>
      <c r="IH22" s="965"/>
      <c r="II22" s="966"/>
      <c r="IJ22" s="973"/>
      <c r="IK22" s="966"/>
      <c r="IL22" s="973"/>
      <c r="IM22" s="978"/>
      <c r="IN22" s="978"/>
      <c r="IO22" s="966"/>
      <c r="IP22" s="966"/>
      <c r="IQ22" s="966"/>
      <c r="IR22" s="966"/>
      <c r="IS22" s="966"/>
      <c r="IT22" s="966"/>
      <c r="IU22" s="965"/>
      <c r="IV22" s="966"/>
      <c r="IW22" s="973"/>
      <c r="IX22" s="966"/>
      <c r="IY22" s="973"/>
      <c r="IZ22" s="978"/>
      <c r="JA22" s="978"/>
      <c r="JB22" s="966"/>
      <c r="JC22" s="966"/>
      <c r="JD22" s="966"/>
      <c r="JE22" s="966"/>
      <c r="JF22" s="966"/>
      <c r="JG22" s="966"/>
      <c r="JH22" s="965"/>
      <c r="JI22" s="966"/>
      <c r="JJ22" s="973"/>
      <c r="JK22" s="966"/>
      <c r="JL22" s="973"/>
      <c r="JM22" s="978"/>
      <c r="JN22" s="978"/>
      <c r="JO22" s="966"/>
      <c r="JP22" s="966"/>
      <c r="JQ22" s="966"/>
      <c r="JR22" s="966"/>
      <c r="JS22" s="966"/>
      <c r="JT22" s="966"/>
      <c r="JU22" s="965"/>
      <c r="JV22" s="966"/>
      <c r="JW22" s="973"/>
      <c r="JX22" s="966"/>
      <c r="JY22" s="973"/>
      <c r="JZ22" s="978"/>
      <c r="KA22" s="978"/>
      <c r="KB22" s="966"/>
      <c r="KC22" s="966"/>
      <c r="KD22" s="966"/>
      <c r="KE22" s="966"/>
      <c r="KF22" s="966"/>
      <c r="KG22" s="966"/>
      <c r="KH22" s="965"/>
      <c r="KI22" s="966"/>
      <c r="KJ22" s="973"/>
      <c r="KK22" s="966"/>
      <c r="KL22" s="973"/>
      <c r="KM22" s="978"/>
      <c r="KN22" s="978"/>
      <c r="KO22" s="966"/>
      <c r="KP22" s="966"/>
      <c r="KQ22" s="966"/>
      <c r="KR22" s="966"/>
      <c r="KS22" s="966"/>
      <c r="KT22" s="966"/>
      <c r="KU22" s="965"/>
      <c r="KV22" s="966"/>
      <c r="KW22" s="973"/>
      <c r="KX22" s="966"/>
      <c r="KY22" s="973"/>
      <c r="KZ22" s="978"/>
      <c r="LA22" s="978"/>
      <c r="LB22" s="966"/>
      <c r="LC22" s="966"/>
      <c r="LD22" s="966"/>
      <c r="LE22" s="966"/>
      <c r="LF22" s="966"/>
      <c r="LG22" s="966"/>
      <c r="LH22" s="965"/>
      <c r="LI22" s="966"/>
      <c r="LJ22" s="973"/>
      <c r="LK22" s="966"/>
      <c r="LL22" s="973"/>
      <c r="LM22" s="978"/>
      <c r="LN22" s="978"/>
      <c r="LO22" s="966"/>
      <c r="LP22" s="966"/>
      <c r="LQ22" s="966"/>
      <c r="LR22" s="966"/>
      <c r="LS22" s="966"/>
      <c r="LT22" s="966"/>
      <c r="LU22" s="965"/>
      <c r="LV22" s="966"/>
      <c r="LW22" s="973"/>
      <c r="LX22" s="966"/>
      <c r="LY22" s="973"/>
      <c r="LZ22" s="978"/>
      <c r="MA22" s="978"/>
      <c r="MB22" s="966"/>
      <c r="MC22" s="966"/>
      <c r="MD22" s="966"/>
      <c r="ME22" s="966"/>
      <c r="MF22" s="966"/>
      <c r="MG22" s="966"/>
    </row>
    <row r="23" spans="2:345">
      <c r="B23" s="196">
        <f>INDEX(Groups!$C$7:$C$65,MATCH(C23,Groups!$D$7:$D$65,0))</f>
        <v>6</v>
      </c>
      <c r="C23" s="197" t="str">
        <f>CalcC!$P$25</f>
        <v>Brazilië</v>
      </c>
      <c r="D23" s="198">
        <f>INDEX(Groups!$C$7:$C$65,MATCH(E23,Groups!$D$7:$D$65,0))</f>
        <v>83</v>
      </c>
      <c r="E23" s="197" t="str">
        <f>CalcC!$Q$25</f>
        <v>Haïti</v>
      </c>
      <c r="F23" s="199" t="str">
        <f>CalcC!$R$25</f>
        <v/>
      </c>
      <c r="G23" s="200" t="str">
        <f>CalcC!$S$25</f>
        <v/>
      </c>
      <c r="I23" s="196">
        <f t="shared" si="0"/>
        <v>6</v>
      </c>
      <c r="J23" s="197" t="str">
        <f t="shared" si="10"/>
        <v>Brazilië</v>
      </c>
      <c r="K23" s="198">
        <f t="shared" si="1"/>
        <v>83</v>
      </c>
      <c r="L23" s="197" t="str">
        <f t="shared" si="11"/>
        <v>Haïti</v>
      </c>
      <c r="M23" s="232"/>
      <c r="N23" s="232"/>
      <c r="O23" s="228"/>
      <c r="P23" s="198" t="str">
        <f t="shared" si="12"/>
        <v/>
      </c>
      <c r="Q23" s="198" t="str">
        <f>IF((P23&lt;&gt;""),IF(OR($F23&lt;&gt;$G23,PrSettings!$M$4="●"),(($F23-$G23)=(M23-N23))*1,0),"")</f>
        <v/>
      </c>
      <c r="R23" s="198" t="str">
        <f t="shared" si="13"/>
        <v/>
      </c>
      <c r="S23" s="198" t="str">
        <f>IF(P23&lt;&gt;"",IF(ABS($F23-$G23)&gt;=PrSettings!$M$7,(ABS($F23-$G23-M23+N23)&lt;=1)*1,IF(AND(P23,$F23=$G23,$F23&gt;=PrSettings!$M$6),(ABS(M23-$F23)&lt;=1)*1,IF(AND(P23,$F23+$G23&gt;=PrSettings!$M$8),(ABS(M23-$F23)+ABS(N23-$G23)&lt;=1)*1,""))),"")</f>
        <v/>
      </c>
      <c r="T23" s="989"/>
      <c r="U23" s="965"/>
      <c r="V23" s="966"/>
      <c r="W23" s="973"/>
      <c r="X23" s="966"/>
      <c r="Y23" s="973"/>
      <c r="Z23" s="978"/>
      <c r="AA23" s="978"/>
      <c r="AB23" s="966"/>
      <c r="AC23" s="966"/>
      <c r="AD23" s="966"/>
      <c r="AE23" s="966"/>
      <c r="AF23" s="966"/>
      <c r="AG23" s="966"/>
      <c r="AH23" s="965"/>
      <c r="AI23" s="966"/>
      <c r="AJ23" s="973"/>
      <c r="AK23" s="966"/>
      <c r="AL23" s="973"/>
      <c r="AM23" s="978"/>
      <c r="AN23" s="978"/>
      <c r="AO23" s="966"/>
      <c r="AP23" s="966"/>
      <c r="AQ23" s="966"/>
      <c r="AR23" s="966"/>
      <c r="AS23" s="966"/>
      <c r="AT23" s="966"/>
      <c r="AU23" s="965"/>
      <c r="AV23" s="966"/>
      <c r="AW23" s="973"/>
      <c r="AX23" s="966"/>
      <c r="AY23" s="973"/>
      <c r="AZ23" s="978"/>
      <c r="BA23" s="978"/>
      <c r="BB23" s="966"/>
      <c r="BC23" s="966"/>
      <c r="BD23" s="966"/>
      <c r="BE23" s="966"/>
      <c r="BF23" s="966"/>
      <c r="BG23" s="966"/>
      <c r="BH23" s="965"/>
      <c r="BI23" s="966"/>
      <c r="BJ23" s="973"/>
      <c r="BK23" s="966"/>
      <c r="BL23" s="973"/>
      <c r="BM23" s="978"/>
      <c r="BN23" s="978"/>
      <c r="BO23" s="966"/>
      <c r="BP23" s="966"/>
      <c r="BQ23" s="966"/>
      <c r="BR23" s="966"/>
      <c r="BS23" s="966"/>
      <c r="BT23" s="966"/>
      <c r="BU23" s="965"/>
      <c r="BV23" s="966"/>
      <c r="BW23" s="973"/>
      <c r="BX23" s="966"/>
      <c r="BY23" s="973"/>
      <c r="BZ23" s="978"/>
      <c r="CA23" s="978"/>
      <c r="CB23" s="966"/>
      <c r="CC23" s="966"/>
      <c r="CD23" s="966"/>
      <c r="CE23" s="966"/>
      <c r="CF23" s="966"/>
      <c r="CG23" s="966"/>
      <c r="CH23" s="965"/>
      <c r="CI23" s="966"/>
      <c r="CJ23" s="973"/>
      <c r="CK23" s="966"/>
      <c r="CL23" s="973"/>
      <c r="CM23" s="978"/>
      <c r="CN23" s="978"/>
      <c r="CO23" s="966"/>
      <c r="CP23" s="966"/>
      <c r="CQ23" s="966"/>
      <c r="CR23" s="966"/>
      <c r="CS23" s="966"/>
      <c r="CT23" s="966"/>
      <c r="CU23" s="965"/>
      <c r="CV23" s="966"/>
      <c r="CW23" s="973"/>
      <c r="CX23" s="966"/>
      <c r="CY23" s="973"/>
      <c r="CZ23" s="978"/>
      <c r="DA23" s="978"/>
      <c r="DB23" s="966"/>
      <c r="DC23" s="966"/>
      <c r="DD23" s="966"/>
      <c r="DE23" s="966"/>
      <c r="DF23" s="966"/>
      <c r="DG23" s="966"/>
      <c r="DH23" s="965"/>
      <c r="DI23" s="966"/>
      <c r="DJ23" s="973"/>
      <c r="DK23" s="966"/>
      <c r="DL23" s="973"/>
      <c r="DM23" s="978"/>
      <c r="DN23" s="978"/>
      <c r="DO23" s="966"/>
      <c r="DP23" s="966"/>
      <c r="DQ23" s="966"/>
      <c r="DR23" s="966"/>
      <c r="DS23" s="966"/>
      <c r="DT23" s="966"/>
      <c r="DU23" s="965"/>
      <c r="DV23" s="966"/>
      <c r="DW23" s="973"/>
      <c r="DX23" s="966"/>
      <c r="DY23" s="973"/>
      <c r="DZ23" s="978"/>
      <c r="EA23" s="978"/>
      <c r="EB23" s="966"/>
      <c r="EC23" s="966"/>
      <c r="ED23" s="966"/>
      <c r="EE23" s="966"/>
      <c r="EF23" s="966"/>
      <c r="EG23" s="966"/>
      <c r="EH23" s="965"/>
      <c r="EI23" s="966"/>
      <c r="EJ23" s="973"/>
      <c r="EK23" s="966"/>
      <c r="EL23" s="973"/>
      <c r="EM23" s="978"/>
      <c r="EN23" s="978"/>
      <c r="EO23" s="966"/>
      <c r="EP23" s="966"/>
      <c r="EQ23" s="966"/>
      <c r="ER23" s="966"/>
      <c r="ES23" s="966"/>
      <c r="ET23" s="966"/>
      <c r="EU23" s="965"/>
      <c r="EV23" s="966"/>
      <c r="EW23" s="973"/>
      <c r="EX23" s="966"/>
      <c r="EY23" s="973"/>
      <c r="EZ23" s="978"/>
      <c r="FA23" s="978"/>
      <c r="FB23" s="966"/>
      <c r="FC23" s="966"/>
      <c r="FD23" s="966"/>
      <c r="FE23" s="966"/>
      <c r="FF23" s="966"/>
      <c r="FG23" s="966"/>
      <c r="FH23" s="965"/>
      <c r="FI23" s="966"/>
      <c r="FJ23" s="973"/>
      <c r="FK23" s="966"/>
      <c r="FL23" s="973"/>
      <c r="FM23" s="978"/>
      <c r="FN23" s="978"/>
      <c r="FO23" s="966"/>
      <c r="FP23" s="966"/>
      <c r="FQ23" s="966"/>
      <c r="FR23" s="966"/>
      <c r="FS23" s="966"/>
      <c r="FT23" s="966"/>
      <c r="FU23" s="965"/>
      <c r="FV23" s="966"/>
      <c r="FW23" s="973"/>
      <c r="FX23" s="966"/>
      <c r="FY23" s="973"/>
      <c r="FZ23" s="978"/>
      <c r="GA23" s="978"/>
      <c r="GB23" s="966"/>
      <c r="GC23" s="966"/>
      <c r="GD23" s="966"/>
      <c r="GE23" s="966"/>
      <c r="GF23" s="966"/>
      <c r="GG23" s="966"/>
      <c r="GH23" s="965"/>
      <c r="GI23" s="966"/>
      <c r="GJ23" s="973"/>
      <c r="GK23" s="966"/>
      <c r="GL23" s="973"/>
      <c r="GM23" s="978"/>
      <c r="GN23" s="978"/>
      <c r="GO23" s="966"/>
      <c r="GP23" s="966"/>
      <c r="GQ23" s="966"/>
      <c r="GR23" s="966"/>
      <c r="GS23" s="966"/>
      <c r="GT23" s="966"/>
      <c r="GU23" s="965"/>
      <c r="GV23" s="966"/>
      <c r="GW23" s="973"/>
      <c r="GX23" s="966"/>
      <c r="GY23" s="973"/>
      <c r="GZ23" s="978"/>
      <c r="HA23" s="978"/>
      <c r="HB23" s="966"/>
      <c r="HC23" s="966"/>
      <c r="HD23" s="966"/>
      <c r="HE23" s="966"/>
      <c r="HF23" s="966"/>
      <c r="HG23" s="966"/>
      <c r="HH23" s="965"/>
      <c r="HI23" s="966"/>
      <c r="HJ23" s="973"/>
      <c r="HK23" s="966"/>
      <c r="HL23" s="973"/>
      <c r="HM23" s="978"/>
      <c r="HN23" s="978"/>
      <c r="HO23" s="966"/>
      <c r="HP23" s="966"/>
      <c r="HQ23" s="966"/>
      <c r="HR23" s="966"/>
      <c r="HS23" s="966"/>
      <c r="HT23" s="966"/>
      <c r="HU23" s="965"/>
      <c r="HV23" s="966"/>
      <c r="HW23" s="973"/>
      <c r="HX23" s="966"/>
      <c r="HY23" s="973"/>
      <c r="HZ23" s="978"/>
      <c r="IA23" s="978"/>
      <c r="IB23" s="966"/>
      <c r="IC23" s="966"/>
      <c r="ID23" s="966"/>
      <c r="IE23" s="966"/>
      <c r="IF23" s="966"/>
      <c r="IG23" s="966"/>
      <c r="IH23" s="965"/>
      <c r="II23" s="966"/>
      <c r="IJ23" s="973"/>
      <c r="IK23" s="966"/>
      <c r="IL23" s="973"/>
      <c r="IM23" s="978"/>
      <c r="IN23" s="978"/>
      <c r="IO23" s="966"/>
      <c r="IP23" s="966"/>
      <c r="IQ23" s="966"/>
      <c r="IR23" s="966"/>
      <c r="IS23" s="966"/>
      <c r="IT23" s="966"/>
      <c r="IU23" s="965"/>
      <c r="IV23" s="966"/>
      <c r="IW23" s="973"/>
      <c r="IX23" s="966"/>
      <c r="IY23" s="973"/>
      <c r="IZ23" s="978"/>
      <c r="JA23" s="978"/>
      <c r="JB23" s="966"/>
      <c r="JC23" s="966"/>
      <c r="JD23" s="966"/>
      <c r="JE23" s="966"/>
      <c r="JF23" s="966"/>
      <c r="JG23" s="966"/>
      <c r="JH23" s="965"/>
      <c r="JI23" s="966"/>
      <c r="JJ23" s="973"/>
      <c r="JK23" s="966"/>
      <c r="JL23" s="973"/>
      <c r="JM23" s="978"/>
      <c r="JN23" s="978"/>
      <c r="JO23" s="966"/>
      <c r="JP23" s="966"/>
      <c r="JQ23" s="966"/>
      <c r="JR23" s="966"/>
      <c r="JS23" s="966"/>
      <c r="JT23" s="966"/>
      <c r="JU23" s="965"/>
      <c r="JV23" s="966"/>
      <c r="JW23" s="973"/>
      <c r="JX23" s="966"/>
      <c r="JY23" s="973"/>
      <c r="JZ23" s="978"/>
      <c r="KA23" s="978"/>
      <c r="KB23" s="966"/>
      <c r="KC23" s="966"/>
      <c r="KD23" s="966"/>
      <c r="KE23" s="966"/>
      <c r="KF23" s="966"/>
      <c r="KG23" s="966"/>
      <c r="KH23" s="965"/>
      <c r="KI23" s="966"/>
      <c r="KJ23" s="973"/>
      <c r="KK23" s="966"/>
      <c r="KL23" s="973"/>
      <c r="KM23" s="978"/>
      <c r="KN23" s="978"/>
      <c r="KO23" s="966"/>
      <c r="KP23" s="966"/>
      <c r="KQ23" s="966"/>
      <c r="KR23" s="966"/>
      <c r="KS23" s="966"/>
      <c r="KT23" s="966"/>
      <c r="KU23" s="965"/>
      <c r="KV23" s="966"/>
      <c r="KW23" s="973"/>
      <c r="KX23" s="966"/>
      <c r="KY23" s="973"/>
      <c r="KZ23" s="978"/>
      <c r="LA23" s="978"/>
      <c r="LB23" s="966"/>
      <c r="LC23" s="966"/>
      <c r="LD23" s="966"/>
      <c r="LE23" s="966"/>
      <c r="LF23" s="966"/>
      <c r="LG23" s="966"/>
      <c r="LH23" s="965"/>
      <c r="LI23" s="966"/>
      <c r="LJ23" s="973"/>
      <c r="LK23" s="966"/>
      <c r="LL23" s="973"/>
      <c r="LM23" s="978"/>
      <c r="LN23" s="978"/>
      <c r="LO23" s="966"/>
      <c r="LP23" s="966"/>
      <c r="LQ23" s="966"/>
      <c r="LR23" s="966"/>
      <c r="LS23" s="966"/>
      <c r="LT23" s="966"/>
      <c r="LU23" s="965"/>
      <c r="LV23" s="966"/>
      <c r="LW23" s="973"/>
      <c r="LX23" s="966"/>
      <c r="LY23" s="973"/>
      <c r="LZ23" s="978"/>
      <c r="MA23" s="978"/>
      <c r="MB23" s="966"/>
      <c r="MC23" s="966"/>
      <c r="MD23" s="966"/>
      <c r="ME23" s="966"/>
      <c r="MF23" s="966"/>
      <c r="MG23" s="966"/>
    </row>
    <row r="24" spans="2:345">
      <c r="B24" s="196">
        <f>INDEX(Groups!$C$7:$C$65,MATCH(C24,Groups!$D$7:$D$65,0))</f>
        <v>43</v>
      </c>
      <c r="C24" s="197" t="str">
        <f>CalcC!$P$26</f>
        <v>Schotland</v>
      </c>
      <c r="D24" s="198">
        <f>INDEX(Groups!$C$7:$C$65,MATCH(E24,Groups!$D$7:$D$65,0))</f>
        <v>6</v>
      </c>
      <c r="E24" s="197" t="str">
        <f>CalcC!$Q$26</f>
        <v>Brazilië</v>
      </c>
      <c r="F24" s="199" t="str">
        <f>CalcC!$R$26</f>
        <v/>
      </c>
      <c r="G24" s="200" t="str">
        <f>CalcC!$S$26</f>
        <v/>
      </c>
      <c r="I24" s="196">
        <f t="shared" si="0"/>
        <v>43</v>
      </c>
      <c r="J24" s="197" t="str">
        <f t="shared" si="10"/>
        <v>Schotland</v>
      </c>
      <c r="K24" s="198">
        <f t="shared" si="1"/>
        <v>6</v>
      </c>
      <c r="L24" s="197" t="str">
        <f t="shared" si="11"/>
        <v>Brazilië</v>
      </c>
      <c r="M24" s="232"/>
      <c r="N24" s="232"/>
      <c r="O24" s="228"/>
      <c r="P24" s="198" t="str">
        <f t="shared" si="12"/>
        <v/>
      </c>
      <c r="Q24" s="198" t="str">
        <f>IF((P24&lt;&gt;""),IF(OR($F24&lt;&gt;$G24,PrSettings!$M$4="●"),(($F24-$G24)=(M24-N24))*1,0),"")</f>
        <v/>
      </c>
      <c r="R24" s="198" t="str">
        <f t="shared" si="13"/>
        <v/>
      </c>
      <c r="S24" s="198" t="str">
        <f>IF(P24&lt;&gt;"",IF(ABS($F24-$G24)&gt;=PrSettings!$M$7,(ABS($F24-$G24-M24+N24)&lt;=1)*1,IF(AND(P24,$F24=$G24,$F24&gt;=PrSettings!$M$6),(ABS(M24-$F24)&lt;=1)*1,IF(AND(P24,$F24+$G24&gt;=PrSettings!$M$8),(ABS(M24-$F24)+ABS(N24-$G24)&lt;=1)*1,""))),"")</f>
        <v/>
      </c>
      <c r="T24" s="989"/>
      <c r="U24" s="965"/>
      <c r="V24" s="966"/>
      <c r="W24" s="973"/>
      <c r="X24" s="966"/>
      <c r="Y24" s="973"/>
      <c r="Z24" s="978"/>
      <c r="AA24" s="978"/>
      <c r="AB24" s="966"/>
      <c r="AC24" s="966"/>
      <c r="AD24" s="966"/>
      <c r="AE24" s="966"/>
      <c r="AF24" s="966"/>
      <c r="AG24" s="966"/>
      <c r="AH24" s="965"/>
      <c r="AI24" s="966"/>
      <c r="AJ24" s="973"/>
      <c r="AK24" s="966"/>
      <c r="AL24" s="973"/>
      <c r="AM24" s="978"/>
      <c r="AN24" s="978"/>
      <c r="AO24" s="966"/>
      <c r="AP24" s="966"/>
      <c r="AQ24" s="966"/>
      <c r="AR24" s="966"/>
      <c r="AS24" s="966"/>
      <c r="AT24" s="966"/>
      <c r="AU24" s="965"/>
      <c r="AV24" s="966"/>
      <c r="AW24" s="973"/>
      <c r="AX24" s="966"/>
      <c r="AY24" s="973"/>
      <c r="AZ24" s="978"/>
      <c r="BA24" s="978"/>
      <c r="BB24" s="966"/>
      <c r="BC24" s="966"/>
      <c r="BD24" s="966"/>
      <c r="BE24" s="966"/>
      <c r="BF24" s="966"/>
      <c r="BG24" s="966"/>
      <c r="BH24" s="965"/>
      <c r="BI24" s="966"/>
      <c r="BJ24" s="973"/>
      <c r="BK24" s="966"/>
      <c r="BL24" s="973"/>
      <c r="BM24" s="978"/>
      <c r="BN24" s="978"/>
      <c r="BO24" s="966"/>
      <c r="BP24" s="966"/>
      <c r="BQ24" s="966"/>
      <c r="BR24" s="966"/>
      <c r="BS24" s="966"/>
      <c r="BT24" s="966"/>
      <c r="BU24" s="965"/>
      <c r="BV24" s="966"/>
      <c r="BW24" s="973"/>
      <c r="BX24" s="966"/>
      <c r="BY24" s="973"/>
      <c r="BZ24" s="978"/>
      <c r="CA24" s="978"/>
      <c r="CB24" s="966"/>
      <c r="CC24" s="966"/>
      <c r="CD24" s="966"/>
      <c r="CE24" s="966"/>
      <c r="CF24" s="966"/>
      <c r="CG24" s="966"/>
      <c r="CH24" s="965"/>
      <c r="CI24" s="966"/>
      <c r="CJ24" s="973"/>
      <c r="CK24" s="966"/>
      <c r="CL24" s="973"/>
      <c r="CM24" s="978"/>
      <c r="CN24" s="978"/>
      <c r="CO24" s="966"/>
      <c r="CP24" s="966"/>
      <c r="CQ24" s="966"/>
      <c r="CR24" s="966"/>
      <c r="CS24" s="966"/>
      <c r="CT24" s="966"/>
      <c r="CU24" s="965"/>
      <c r="CV24" s="966"/>
      <c r="CW24" s="973"/>
      <c r="CX24" s="966"/>
      <c r="CY24" s="973"/>
      <c r="CZ24" s="978"/>
      <c r="DA24" s="978"/>
      <c r="DB24" s="966"/>
      <c r="DC24" s="966"/>
      <c r="DD24" s="966"/>
      <c r="DE24" s="966"/>
      <c r="DF24" s="966"/>
      <c r="DG24" s="966"/>
      <c r="DH24" s="965"/>
      <c r="DI24" s="966"/>
      <c r="DJ24" s="973"/>
      <c r="DK24" s="966"/>
      <c r="DL24" s="973"/>
      <c r="DM24" s="978"/>
      <c r="DN24" s="978"/>
      <c r="DO24" s="966"/>
      <c r="DP24" s="966"/>
      <c r="DQ24" s="966"/>
      <c r="DR24" s="966"/>
      <c r="DS24" s="966"/>
      <c r="DT24" s="966"/>
      <c r="DU24" s="965"/>
      <c r="DV24" s="966"/>
      <c r="DW24" s="973"/>
      <c r="DX24" s="966"/>
      <c r="DY24" s="973"/>
      <c r="DZ24" s="978"/>
      <c r="EA24" s="978"/>
      <c r="EB24" s="966"/>
      <c r="EC24" s="966"/>
      <c r="ED24" s="966"/>
      <c r="EE24" s="966"/>
      <c r="EF24" s="966"/>
      <c r="EG24" s="966"/>
      <c r="EH24" s="965"/>
      <c r="EI24" s="966"/>
      <c r="EJ24" s="973"/>
      <c r="EK24" s="966"/>
      <c r="EL24" s="973"/>
      <c r="EM24" s="978"/>
      <c r="EN24" s="978"/>
      <c r="EO24" s="966"/>
      <c r="EP24" s="966"/>
      <c r="EQ24" s="966"/>
      <c r="ER24" s="966"/>
      <c r="ES24" s="966"/>
      <c r="ET24" s="966"/>
      <c r="EU24" s="965"/>
      <c r="EV24" s="966"/>
      <c r="EW24" s="973"/>
      <c r="EX24" s="966"/>
      <c r="EY24" s="973"/>
      <c r="EZ24" s="978"/>
      <c r="FA24" s="978"/>
      <c r="FB24" s="966"/>
      <c r="FC24" s="966"/>
      <c r="FD24" s="966"/>
      <c r="FE24" s="966"/>
      <c r="FF24" s="966"/>
      <c r="FG24" s="966"/>
      <c r="FH24" s="965"/>
      <c r="FI24" s="966"/>
      <c r="FJ24" s="973"/>
      <c r="FK24" s="966"/>
      <c r="FL24" s="973"/>
      <c r="FM24" s="978"/>
      <c r="FN24" s="978"/>
      <c r="FO24" s="966"/>
      <c r="FP24" s="966"/>
      <c r="FQ24" s="966"/>
      <c r="FR24" s="966"/>
      <c r="FS24" s="966"/>
      <c r="FT24" s="966"/>
      <c r="FU24" s="965"/>
      <c r="FV24" s="966"/>
      <c r="FW24" s="973"/>
      <c r="FX24" s="966"/>
      <c r="FY24" s="973"/>
      <c r="FZ24" s="978"/>
      <c r="GA24" s="978"/>
      <c r="GB24" s="966"/>
      <c r="GC24" s="966"/>
      <c r="GD24" s="966"/>
      <c r="GE24" s="966"/>
      <c r="GF24" s="966"/>
      <c r="GG24" s="966"/>
      <c r="GH24" s="965"/>
      <c r="GI24" s="966"/>
      <c r="GJ24" s="973"/>
      <c r="GK24" s="966"/>
      <c r="GL24" s="973"/>
      <c r="GM24" s="978"/>
      <c r="GN24" s="978"/>
      <c r="GO24" s="966"/>
      <c r="GP24" s="966"/>
      <c r="GQ24" s="966"/>
      <c r="GR24" s="966"/>
      <c r="GS24" s="966"/>
      <c r="GT24" s="966"/>
      <c r="GU24" s="965"/>
      <c r="GV24" s="966"/>
      <c r="GW24" s="973"/>
      <c r="GX24" s="966"/>
      <c r="GY24" s="973"/>
      <c r="GZ24" s="978"/>
      <c r="HA24" s="978"/>
      <c r="HB24" s="966"/>
      <c r="HC24" s="966"/>
      <c r="HD24" s="966"/>
      <c r="HE24" s="966"/>
      <c r="HF24" s="966"/>
      <c r="HG24" s="966"/>
      <c r="HH24" s="965"/>
      <c r="HI24" s="966"/>
      <c r="HJ24" s="973"/>
      <c r="HK24" s="966"/>
      <c r="HL24" s="973"/>
      <c r="HM24" s="978"/>
      <c r="HN24" s="978"/>
      <c r="HO24" s="966"/>
      <c r="HP24" s="966"/>
      <c r="HQ24" s="966"/>
      <c r="HR24" s="966"/>
      <c r="HS24" s="966"/>
      <c r="HT24" s="966"/>
      <c r="HU24" s="965"/>
      <c r="HV24" s="966"/>
      <c r="HW24" s="973"/>
      <c r="HX24" s="966"/>
      <c r="HY24" s="973"/>
      <c r="HZ24" s="978"/>
      <c r="IA24" s="978"/>
      <c r="IB24" s="966"/>
      <c r="IC24" s="966"/>
      <c r="ID24" s="966"/>
      <c r="IE24" s="966"/>
      <c r="IF24" s="966"/>
      <c r="IG24" s="966"/>
      <c r="IH24" s="965"/>
      <c r="II24" s="966"/>
      <c r="IJ24" s="973"/>
      <c r="IK24" s="966"/>
      <c r="IL24" s="973"/>
      <c r="IM24" s="978"/>
      <c r="IN24" s="978"/>
      <c r="IO24" s="966"/>
      <c r="IP24" s="966"/>
      <c r="IQ24" s="966"/>
      <c r="IR24" s="966"/>
      <c r="IS24" s="966"/>
      <c r="IT24" s="966"/>
      <c r="IU24" s="965"/>
      <c r="IV24" s="966"/>
      <c r="IW24" s="973"/>
      <c r="IX24" s="966"/>
      <c r="IY24" s="973"/>
      <c r="IZ24" s="978"/>
      <c r="JA24" s="978"/>
      <c r="JB24" s="966"/>
      <c r="JC24" s="966"/>
      <c r="JD24" s="966"/>
      <c r="JE24" s="966"/>
      <c r="JF24" s="966"/>
      <c r="JG24" s="966"/>
      <c r="JH24" s="965"/>
      <c r="JI24" s="966"/>
      <c r="JJ24" s="973"/>
      <c r="JK24" s="966"/>
      <c r="JL24" s="973"/>
      <c r="JM24" s="978"/>
      <c r="JN24" s="978"/>
      <c r="JO24" s="966"/>
      <c r="JP24" s="966"/>
      <c r="JQ24" s="966"/>
      <c r="JR24" s="966"/>
      <c r="JS24" s="966"/>
      <c r="JT24" s="966"/>
      <c r="JU24" s="965"/>
      <c r="JV24" s="966"/>
      <c r="JW24" s="973"/>
      <c r="JX24" s="966"/>
      <c r="JY24" s="973"/>
      <c r="JZ24" s="978"/>
      <c r="KA24" s="978"/>
      <c r="KB24" s="966"/>
      <c r="KC24" s="966"/>
      <c r="KD24" s="966"/>
      <c r="KE24" s="966"/>
      <c r="KF24" s="966"/>
      <c r="KG24" s="966"/>
      <c r="KH24" s="965"/>
      <c r="KI24" s="966"/>
      <c r="KJ24" s="973"/>
      <c r="KK24" s="966"/>
      <c r="KL24" s="973"/>
      <c r="KM24" s="978"/>
      <c r="KN24" s="978"/>
      <c r="KO24" s="966"/>
      <c r="KP24" s="966"/>
      <c r="KQ24" s="966"/>
      <c r="KR24" s="966"/>
      <c r="KS24" s="966"/>
      <c r="KT24" s="966"/>
      <c r="KU24" s="965"/>
      <c r="KV24" s="966"/>
      <c r="KW24" s="973"/>
      <c r="KX24" s="966"/>
      <c r="KY24" s="973"/>
      <c r="KZ24" s="978"/>
      <c r="LA24" s="978"/>
      <c r="LB24" s="966"/>
      <c r="LC24" s="966"/>
      <c r="LD24" s="966"/>
      <c r="LE24" s="966"/>
      <c r="LF24" s="966"/>
      <c r="LG24" s="966"/>
      <c r="LH24" s="965"/>
      <c r="LI24" s="966"/>
      <c r="LJ24" s="973"/>
      <c r="LK24" s="966"/>
      <c r="LL24" s="973"/>
      <c r="LM24" s="978"/>
      <c r="LN24" s="978"/>
      <c r="LO24" s="966"/>
      <c r="LP24" s="966"/>
      <c r="LQ24" s="966"/>
      <c r="LR24" s="966"/>
      <c r="LS24" s="966"/>
      <c r="LT24" s="966"/>
      <c r="LU24" s="965"/>
      <c r="LV24" s="966"/>
      <c r="LW24" s="973"/>
      <c r="LX24" s="966"/>
      <c r="LY24" s="973"/>
      <c r="LZ24" s="978"/>
      <c r="MA24" s="978"/>
      <c r="MB24" s="966"/>
      <c r="MC24" s="966"/>
      <c r="MD24" s="966"/>
      <c r="ME24" s="966"/>
      <c r="MF24" s="966"/>
      <c r="MG24" s="966"/>
    </row>
    <row r="25" spans="2:345">
      <c r="B25" s="196">
        <f>INDEX(Groups!$C$7:$C$65,MATCH(C25,Groups!$D$7:$D$65,0))</f>
        <v>8</v>
      </c>
      <c r="C25" s="197" t="str">
        <f>CalcC!$P$27</f>
        <v>Marokko</v>
      </c>
      <c r="D25" s="198">
        <f>INDEX(Groups!$C$7:$C$65,MATCH(E25,Groups!$D$7:$D$65,0))</f>
        <v>83</v>
      </c>
      <c r="E25" s="197" t="str">
        <f>CalcC!$Q$27</f>
        <v>Haïti</v>
      </c>
      <c r="F25" s="199" t="str">
        <f>CalcC!$R$27</f>
        <v/>
      </c>
      <c r="G25" s="200" t="str">
        <f>CalcC!$S$27</f>
        <v/>
      </c>
      <c r="I25" s="196">
        <f t="shared" si="0"/>
        <v>8</v>
      </c>
      <c r="J25" s="197" t="str">
        <f t="shared" si="10"/>
        <v>Marokko</v>
      </c>
      <c r="K25" s="198">
        <f t="shared" si="1"/>
        <v>83</v>
      </c>
      <c r="L25" s="197" t="str">
        <f t="shared" si="11"/>
        <v>Haïti</v>
      </c>
      <c r="M25" s="232"/>
      <c r="N25" s="232"/>
      <c r="O25" s="473"/>
      <c r="P25" s="198" t="str">
        <f t="shared" si="12"/>
        <v/>
      </c>
      <c r="Q25" s="198" t="str">
        <f>IF((P25&lt;&gt;""),IF(OR($F25&lt;&gt;$G25,PrSettings!$M$4="●"),(($F25-$G25)=(M25-N25))*1,0),"")</f>
        <v/>
      </c>
      <c r="R25" s="198" t="str">
        <f t="shared" si="13"/>
        <v/>
      </c>
      <c r="S25" s="198" t="str">
        <f>IF(P25&lt;&gt;"",IF(ABS($F25-$G25)&gt;=PrSettings!$M$7,(ABS($F25-$G25-M25+N25)&lt;=1)*1,IF(AND(P25,$F25=$G25,$F25&gt;=PrSettings!$M$6),(ABS(M25-$F25)&lt;=1)*1,IF(AND(P25,$F25+$G25&gt;=PrSettings!$M$8),(ABS(M25-$F25)+ABS(N25-$G25)&lt;=1)*1,""))),"")</f>
        <v/>
      </c>
      <c r="T25" s="990"/>
      <c r="U25" s="965"/>
      <c r="V25" s="966"/>
      <c r="W25" s="973"/>
      <c r="X25" s="966"/>
      <c r="Y25" s="973"/>
      <c r="Z25" s="978"/>
      <c r="AA25" s="978"/>
      <c r="AB25" s="966"/>
      <c r="AC25" s="966"/>
      <c r="AD25" s="966"/>
      <c r="AE25" s="966"/>
      <c r="AF25" s="966"/>
      <c r="AG25" s="966"/>
      <c r="AH25" s="965"/>
      <c r="AI25" s="966"/>
      <c r="AJ25" s="973"/>
      <c r="AK25" s="966"/>
      <c r="AL25" s="973"/>
      <c r="AM25" s="978"/>
      <c r="AN25" s="978"/>
      <c r="AO25" s="966"/>
      <c r="AP25" s="966"/>
      <c r="AQ25" s="966"/>
      <c r="AR25" s="966"/>
      <c r="AS25" s="966"/>
      <c r="AT25" s="966"/>
      <c r="AU25" s="965"/>
      <c r="AV25" s="966"/>
      <c r="AW25" s="973"/>
      <c r="AX25" s="966"/>
      <c r="AY25" s="973"/>
      <c r="AZ25" s="978"/>
      <c r="BA25" s="978"/>
      <c r="BB25" s="966"/>
      <c r="BC25" s="966"/>
      <c r="BD25" s="966"/>
      <c r="BE25" s="966"/>
      <c r="BF25" s="966"/>
      <c r="BG25" s="966"/>
      <c r="BH25" s="965"/>
      <c r="BI25" s="966"/>
      <c r="BJ25" s="973"/>
      <c r="BK25" s="966"/>
      <c r="BL25" s="973"/>
      <c r="BM25" s="978"/>
      <c r="BN25" s="978"/>
      <c r="BO25" s="966"/>
      <c r="BP25" s="966"/>
      <c r="BQ25" s="966"/>
      <c r="BR25" s="966"/>
      <c r="BS25" s="966"/>
      <c r="BT25" s="966"/>
      <c r="BU25" s="965"/>
      <c r="BV25" s="966"/>
      <c r="BW25" s="973"/>
      <c r="BX25" s="966"/>
      <c r="BY25" s="973"/>
      <c r="BZ25" s="978"/>
      <c r="CA25" s="978"/>
      <c r="CB25" s="966"/>
      <c r="CC25" s="966"/>
      <c r="CD25" s="966"/>
      <c r="CE25" s="966"/>
      <c r="CF25" s="966"/>
      <c r="CG25" s="966"/>
      <c r="CH25" s="965"/>
      <c r="CI25" s="966"/>
      <c r="CJ25" s="973"/>
      <c r="CK25" s="966"/>
      <c r="CL25" s="973"/>
      <c r="CM25" s="978"/>
      <c r="CN25" s="978"/>
      <c r="CO25" s="966"/>
      <c r="CP25" s="966"/>
      <c r="CQ25" s="966"/>
      <c r="CR25" s="966"/>
      <c r="CS25" s="966"/>
      <c r="CT25" s="966"/>
      <c r="CU25" s="965"/>
      <c r="CV25" s="966"/>
      <c r="CW25" s="973"/>
      <c r="CX25" s="966"/>
      <c r="CY25" s="973"/>
      <c r="CZ25" s="978"/>
      <c r="DA25" s="978"/>
      <c r="DB25" s="966"/>
      <c r="DC25" s="966"/>
      <c r="DD25" s="966"/>
      <c r="DE25" s="966"/>
      <c r="DF25" s="966"/>
      <c r="DG25" s="966"/>
      <c r="DH25" s="965"/>
      <c r="DI25" s="966"/>
      <c r="DJ25" s="973"/>
      <c r="DK25" s="966"/>
      <c r="DL25" s="973"/>
      <c r="DM25" s="978"/>
      <c r="DN25" s="978"/>
      <c r="DO25" s="966"/>
      <c r="DP25" s="966"/>
      <c r="DQ25" s="966"/>
      <c r="DR25" s="966"/>
      <c r="DS25" s="966"/>
      <c r="DT25" s="966"/>
      <c r="DU25" s="965"/>
      <c r="DV25" s="966"/>
      <c r="DW25" s="973"/>
      <c r="DX25" s="966"/>
      <c r="DY25" s="973"/>
      <c r="DZ25" s="978"/>
      <c r="EA25" s="978"/>
      <c r="EB25" s="966"/>
      <c r="EC25" s="966"/>
      <c r="ED25" s="966"/>
      <c r="EE25" s="966"/>
      <c r="EF25" s="966"/>
      <c r="EG25" s="966"/>
      <c r="EH25" s="965"/>
      <c r="EI25" s="966"/>
      <c r="EJ25" s="973"/>
      <c r="EK25" s="966"/>
      <c r="EL25" s="973"/>
      <c r="EM25" s="978"/>
      <c r="EN25" s="978"/>
      <c r="EO25" s="966"/>
      <c r="EP25" s="966"/>
      <c r="EQ25" s="966"/>
      <c r="ER25" s="966"/>
      <c r="ES25" s="966"/>
      <c r="ET25" s="966"/>
      <c r="EU25" s="965"/>
      <c r="EV25" s="966"/>
      <c r="EW25" s="973"/>
      <c r="EX25" s="966"/>
      <c r="EY25" s="973"/>
      <c r="EZ25" s="978"/>
      <c r="FA25" s="978"/>
      <c r="FB25" s="966"/>
      <c r="FC25" s="966"/>
      <c r="FD25" s="966"/>
      <c r="FE25" s="966"/>
      <c r="FF25" s="966"/>
      <c r="FG25" s="966"/>
      <c r="FH25" s="965"/>
      <c r="FI25" s="966"/>
      <c r="FJ25" s="973"/>
      <c r="FK25" s="966"/>
      <c r="FL25" s="973"/>
      <c r="FM25" s="978"/>
      <c r="FN25" s="978"/>
      <c r="FO25" s="966"/>
      <c r="FP25" s="966"/>
      <c r="FQ25" s="966"/>
      <c r="FR25" s="966"/>
      <c r="FS25" s="966"/>
      <c r="FT25" s="966"/>
      <c r="FU25" s="965"/>
      <c r="FV25" s="966"/>
      <c r="FW25" s="973"/>
      <c r="FX25" s="966"/>
      <c r="FY25" s="973"/>
      <c r="FZ25" s="978"/>
      <c r="GA25" s="978"/>
      <c r="GB25" s="966"/>
      <c r="GC25" s="966"/>
      <c r="GD25" s="966"/>
      <c r="GE25" s="966"/>
      <c r="GF25" s="966"/>
      <c r="GG25" s="966"/>
      <c r="GH25" s="965"/>
      <c r="GI25" s="966"/>
      <c r="GJ25" s="973"/>
      <c r="GK25" s="966"/>
      <c r="GL25" s="973"/>
      <c r="GM25" s="978"/>
      <c r="GN25" s="978"/>
      <c r="GO25" s="966"/>
      <c r="GP25" s="966"/>
      <c r="GQ25" s="966"/>
      <c r="GR25" s="966"/>
      <c r="GS25" s="966"/>
      <c r="GT25" s="966"/>
      <c r="GU25" s="965"/>
      <c r="GV25" s="966"/>
      <c r="GW25" s="973"/>
      <c r="GX25" s="966"/>
      <c r="GY25" s="973"/>
      <c r="GZ25" s="978"/>
      <c r="HA25" s="978"/>
      <c r="HB25" s="966"/>
      <c r="HC25" s="966"/>
      <c r="HD25" s="966"/>
      <c r="HE25" s="966"/>
      <c r="HF25" s="966"/>
      <c r="HG25" s="966"/>
      <c r="HH25" s="965"/>
      <c r="HI25" s="966"/>
      <c r="HJ25" s="973"/>
      <c r="HK25" s="966"/>
      <c r="HL25" s="973"/>
      <c r="HM25" s="978"/>
      <c r="HN25" s="978"/>
      <c r="HO25" s="966"/>
      <c r="HP25" s="966"/>
      <c r="HQ25" s="966"/>
      <c r="HR25" s="966"/>
      <c r="HS25" s="966"/>
      <c r="HT25" s="966"/>
      <c r="HU25" s="965"/>
      <c r="HV25" s="966"/>
      <c r="HW25" s="973"/>
      <c r="HX25" s="966"/>
      <c r="HY25" s="973"/>
      <c r="HZ25" s="978"/>
      <c r="IA25" s="978"/>
      <c r="IB25" s="966"/>
      <c r="IC25" s="966"/>
      <c r="ID25" s="966"/>
      <c r="IE25" s="966"/>
      <c r="IF25" s="966"/>
      <c r="IG25" s="966"/>
      <c r="IH25" s="965"/>
      <c r="II25" s="966"/>
      <c r="IJ25" s="973"/>
      <c r="IK25" s="966"/>
      <c r="IL25" s="973"/>
      <c r="IM25" s="978"/>
      <c r="IN25" s="978"/>
      <c r="IO25" s="966"/>
      <c r="IP25" s="966"/>
      <c r="IQ25" s="966"/>
      <c r="IR25" s="966"/>
      <c r="IS25" s="966"/>
      <c r="IT25" s="966"/>
      <c r="IU25" s="965"/>
      <c r="IV25" s="966"/>
      <c r="IW25" s="973"/>
      <c r="IX25" s="966"/>
      <c r="IY25" s="973"/>
      <c r="IZ25" s="978"/>
      <c r="JA25" s="978"/>
      <c r="JB25" s="966"/>
      <c r="JC25" s="966"/>
      <c r="JD25" s="966"/>
      <c r="JE25" s="966"/>
      <c r="JF25" s="966"/>
      <c r="JG25" s="966"/>
      <c r="JH25" s="965"/>
      <c r="JI25" s="966"/>
      <c r="JJ25" s="973"/>
      <c r="JK25" s="966"/>
      <c r="JL25" s="973"/>
      <c r="JM25" s="978"/>
      <c r="JN25" s="978"/>
      <c r="JO25" s="966"/>
      <c r="JP25" s="966"/>
      <c r="JQ25" s="966"/>
      <c r="JR25" s="966"/>
      <c r="JS25" s="966"/>
      <c r="JT25" s="966"/>
      <c r="JU25" s="965"/>
      <c r="JV25" s="966"/>
      <c r="JW25" s="973"/>
      <c r="JX25" s="966"/>
      <c r="JY25" s="973"/>
      <c r="JZ25" s="978"/>
      <c r="KA25" s="978"/>
      <c r="KB25" s="966"/>
      <c r="KC25" s="966"/>
      <c r="KD25" s="966"/>
      <c r="KE25" s="966"/>
      <c r="KF25" s="966"/>
      <c r="KG25" s="966"/>
      <c r="KH25" s="965"/>
      <c r="KI25" s="966"/>
      <c r="KJ25" s="973"/>
      <c r="KK25" s="966"/>
      <c r="KL25" s="973"/>
      <c r="KM25" s="978"/>
      <c r="KN25" s="978"/>
      <c r="KO25" s="966"/>
      <c r="KP25" s="966"/>
      <c r="KQ25" s="966"/>
      <c r="KR25" s="966"/>
      <c r="KS25" s="966"/>
      <c r="KT25" s="966"/>
      <c r="KU25" s="965"/>
      <c r="KV25" s="966"/>
      <c r="KW25" s="973"/>
      <c r="KX25" s="966"/>
      <c r="KY25" s="973"/>
      <c r="KZ25" s="978"/>
      <c r="LA25" s="978"/>
      <c r="LB25" s="966"/>
      <c r="LC25" s="966"/>
      <c r="LD25" s="966"/>
      <c r="LE25" s="966"/>
      <c r="LF25" s="966"/>
      <c r="LG25" s="966"/>
      <c r="LH25" s="965"/>
      <c r="LI25" s="966"/>
      <c r="LJ25" s="973"/>
      <c r="LK25" s="966"/>
      <c r="LL25" s="973"/>
      <c r="LM25" s="978"/>
      <c r="LN25" s="978"/>
      <c r="LO25" s="966"/>
      <c r="LP25" s="966"/>
      <c r="LQ25" s="966"/>
      <c r="LR25" s="966"/>
      <c r="LS25" s="966"/>
      <c r="LT25" s="966"/>
      <c r="LU25" s="965"/>
      <c r="LV25" s="966"/>
      <c r="LW25" s="973"/>
      <c r="LX25" s="966"/>
      <c r="LY25" s="973"/>
      <c r="LZ25" s="978"/>
      <c r="MA25" s="978"/>
      <c r="MB25" s="966"/>
      <c r="MC25" s="966"/>
      <c r="MD25" s="966"/>
      <c r="ME25" s="966"/>
      <c r="MF25" s="966"/>
      <c r="MG25" s="966"/>
    </row>
    <row r="26" spans="2:345" ht="24" customHeight="1">
      <c r="B26" s="205" t="str">
        <f>Language!$E$130&amp;" D"</f>
        <v>Groep D</v>
      </c>
      <c r="C26" s="206"/>
      <c r="D26" s="211"/>
      <c r="E26" s="208"/>
      <c r="F26" s="212"/>
      <c r="G26" s="213"/>
      <c r="I26" s="205" t="str">
        <f t="shared" si="0"/>
        <v>Groep D</v>
      </c>
      <c r="J26" s="207"/>
      <c r="K26" s="211"/>
      <c r="L26" s="208"/>
      <c r="M26" s="236"/>
      <c r="N26" s="237"/>
      <c r="O26" s="209"/>
      <c r="P26" s="220"/>
      <c r="Q26" s="220"/>
      <c r="R26" s="208"/>
      <c r="S26" s="208"/>
      <c r="T26" s="987"/>
      <c r="U26" s="965"/>
      <c r="V26" s="972"/>
      <c r="W26" s="972"/>
      <c r="X26" s="966"/>
      <c r="Y26" s="973"/>
      <c r="Z26" s="974"/>
      <c r="AA26" s="975"/>
      <c r="AB26" s="976"/>
      <c r="AC26" s="977"/>
      <c r="AD26" s="977"/>
      <c r="AE26" s="973"/>
      <c r="AF26" s="973"/>
      <c r="AG26" s="973"/>
      <c r="AH26" s="965"/>
      <c r="AI26" s="972"/>
      <c r="AJ26" s="972"/>
      <c r="AK26" s="966"/>
      <c r="AL26" s="973"/>
      <c r="AM26" s="974"/>
      <c r="AN26" s="975"/>
      <c r="AO26" s="976"/>
      <c r="AP26" s="977"/>
      <c r="AQ26" s="977"/>
      <c r="AR26" s="973"/>
      <c r="AS26" s="973"/>
      <c r="AT26" s="973"/>
      <c r="AU26" s="965"/>
      <c r="AV26" s="972"/>
      <c r="AW26" s="972"/>
      <c r="AX26" s="966"/>
      <c r="AY26" s="973"/>
      <c r="AZ26" s="974"/>
      <c r="BA26" s="975"/>
      <c r="BB26" s="976"/>
      <c r="BC26" s="977"/>
      <c r="BD26" s="977"/>
      <c r="BE26" s="973"/>
      <c r="BF26" s="973"/>
      <c r="BG26" s="973"/>
      <c r="BH26" s="965"/>
      <c r="BI26" s="972"/>
      <c r="BJ26" s="972"/>
      <c r="BK26" s="966"/>
      <c r="BL26" s="973"/>
      <c r="BM26" s="974"/>
      <c r="BN26" s="975"/>
      <c r="BO26" s="976"/>
      <c r="BP26" s="977"/>
      <c r="BQ26" s="977"/>
      <c r="BR26" s="973"/>
      <c r="BS26" s="973"/>
      <c r="BT26" s="973"/>
      <c r="BU26" s="965"/>
      <c r="BV26" s="972"/>
      <c r="BW26" s="972"/>
      <c r="BX26" s="966"/>
      <c r="BY26" s="973"/>
      <c r="BZ26" s="974"/>
      <c r="CA26" s="975"/>
      <c r="CB26" s="976"/>
      <c r="CC26" s="977"/>
      <c r="CD26" s="977"/>
      <c r="CE26" s="973"/>
      <c r="CF26" s="973"/>
      <c r="CG26" s="973"/>
      <c r="CH26" s="965"/>
      <c r="CI26" s="972"/>
      <c r="CJ26" s="972"/>
      <c r="CK26" s="966"/>
      <c r="CL26" s="973"/>
      <c r="CM26" s="974"/>
      <c r="CN26" s="975"/>
      <c r="CO26" s="976"/>
      <c r="CP26" s="977"/>
      <c r="CQ26" s="977"/>
      <c r="CR26" s="973"/>
      <c r="CS26" s="973"/>
      <c r="CT26" s="973"/>
      <c r="CU26" s="965"/>
      <c r="CV26" s="972"/>
      <c r="CW26" s="972"/>
      <c r="CX26" s="966"/>
      <c r="CY26" s="973"/>
      <c r="CZ26" s="974"/>
      <c r="DA26" s="975"/>
      <c r="DB26" s="976"/>
      <c r="DC26" s="977"/>
      <c r="DD26" s="977"/>
      <c r="DE26" s="973"/>
      <c r="DF26" s="973"/>
      <c r="DG26" s="973"/>
      <c r="DH26" s="965"/>
      <c r="DI26" s="972"/>
      <c r="DJ26" s="972"/>
      <c r="DK26" s="966"/>
      <c r="DL26" s="973"/>
      <c r="DM26" s="974"/>
      <c r="DN26" s="975"/>
      <c r="DO26" s="976"/>
      <c r="DP26" s="977"/>
      <c r="DQ26" s="977"/>
      <c r="DR26" s="973"/>
      <c r="DS26" s="973"/>
      <c r="DT26" s="973"/>
      <c r="DU26" s="965"/>
      <c r="DV26" s="972"/>
      <c r="DW26" s="972"/>
      <c r="DX26" s="966"/>
      <c r="DY26" s="973"/>
      <c r="DZ26" s="974"/>
      <c r="EA26" s="975"/>
      <c r="EB26" s="976"/>
      <c r="EC26" s="977"/>
      <c r="ED26" s="977"/>
      <c r="EE26" s="973"/>
      <c r="EF26" s="973"/>
      <c r="EG26" s="973"/>
      <c r="EH26" s="965"/>
      <c r="EI26" s="972"/>
      <c r="EJ26" s="972"/>
      <c r="EK26" s="966"/>
      <c r="EL26" s="973"/>
      <c r="EM26" s="974"/>
      <c r="EN26" s="975"/>
      <c r="EO26" s="976"/>
      <c r="EP26" s="977"/>
      <c r="EQ26" s="977"/>
      <c r="ER26" s="973"/>
      <c r="ES26" s="973"/>
      <c r="ET26" s="973"/>
      <c r="EU26" s="965"/>
      <c r="EV26" s="972"/>
      <c r="EW26" s="972"/>
      <c r="EX26" s="966"/>
      <c r="EY26" s="973"/>
      <c r="EZ26" s="974"/>
      <c r="FA26" s="975"/>
      <c r="FB26" s="976"/>
      <c r="FC26" s="977"/>
      <c r="FD26" s="977"/>
      <c r="FE26" s="973"/>
      <c r="FF26" s="973"/>
      <c r="FG26" s="973"/>
      <c r="FH26" s="965"/>
      <c r="FI26" s="972"/>
      <c r="FJ26" s="972"/>
      <c r="FK26" s="966"/>
      <c r="FL26" s="973"/>
      <c r="FM26" s="974"/>
      <c r="FN26" s="975"/>
      <c r="FO26" s="976"/>
      <c r="FP26" s="977"/>
      <c r="FQ26" s="977"/>
      <c r="FR26" s="973"/>
      <c r="FS26" s="973"/>
      <c r="FT26" s="973"/>
      <c r="FU26" s="965"/>
      <c r="FV26" s="972"/>
      <c r="FW26" s="972"/>
      <c r="FX26" s="966"/>
      <c r="FY26" s="973"/>
      <c r="FZ26" s="974"/>
      <c r="GA26" s="975"/>
      <c r="GB26" s="976"/>
      <c r="GC26" s="977"/>
      <c r="GD26" s="977"/>
      <c r="GE26" s="973"/>
      <c r="GF26" s="973"/>
      <c r="GG26" s="973"/>
      <c r="GH26" s="965"/>
      <c r="GI26" s="972"/>
      <c r="GJ26" s="972"/>
      <c r="GK26" s="966"/>
      <c r="GL26" s="973"/>
      <c r="GM26" s="974"/>
      <c r="GN26" s="975"/>
      <c r="GO26" s="976"/>
      <c r="GP26" s="977"/>
      <c r="GQ26" s="977"/>
      <c r="GR26" s="973"/>
      <c r="GS26" s="973"/>
      <c r="GT26" s="973"/>
      <c r="GU26" s="965"/>
      <c r="GV26" s="972"/>
      <c r="GW26" s="972"/>
      <c r="GX26" s="966"/>
      <c r="GY26" s="973"/>
      <c r="GZ26" s="974"/>
      <c r="HA26" s="975"/>
      <c r="HB26" s="976"/>
      <c r="HC26" s="977"/>
      <c r="HD26" s="977"/>
      <c r="HE26" s="973"/>
      <c r="HF26" s="973"/>
      <c r="HG26" s="973"/>
      <c r="HH26" s="965"/>
      <c r="HI26" s="972"/>
      <c r="HJ26" s="972"/>
      <c r="HK26" s="966"/>
      <c r="HL26" s="973"/>
      <c r="HM26" s="974"/>
      <c r="HN26" s="975"/>
      <c r="HO26" s="976"/>
      <c r="HP26" s="977"/>
      <c r="HQ26" s="977"/>
      <c r="HR26" s="973"/>
      <c r="HS26" s="973"/>
      <c r="HT26" s="973"/>
      <c r="HU26" s="965"/>
      <c r="HV26" s="972"/>
      <c r="HW26" s="972"/>
      <c r="HX26" s="966"/>
      <c r="HY26" s="973"/>
      <c r="HZ26" s="974"/>
      <c r="IA26" s="975"/>
      <c r="IB26" s="976"/>
      <c r="IC26" s="977"/>
      <c r="ID26" s="977"/>
      <c r="IE26" s="973"/>
      <c r="IF26" s="973"/>
      <c r="IG26" s="973"/>
      <c r="IH26" s="965"/>
      <c r="II26" s="972"/>
      <c r="IJ26" s="972"/>
      <c r="IK26" s="966"/>
      <c r="IL26" s="973"/>
      <c r="IM26" s="974"/>
      <c r="IN26" s="975"/>
      <c r="IO26" s="976"/>
      <c r="IP26" s="977"/>
      <c r="IQ26" s="977"/>
      <c r="IR26" s="973"/>
      <c r="IS26" s="973"/>
      <c r="IT26" s="973"/>
      <c r="IU26" s="965"/>
      <c r="IV26" s="972"/>
      <c r="IW26" s="972"/>
      <c r="IX26" s="966"/>
      <c r="IY26" s="973"/>
      <c r="IZ26" s="974"/>
      <c r="JA26" s="975"/>
      <c r="JB26" s="976"/>
      <c r="JC26" s="977"/>
      <c r="JD26" s="977"/>
      <c r="JE26" s="973"/>
      <c r="JF26" s="973"/>
      <c r="JG26" s="973"/>
      <c r="JH26" s="965"/>
      <c r="JI26" s="972"/>
      <c r="JJ26" s="972"/>
      <c r="JK26" s="966"/>
      <c r="JL26" s="973"/>
      <c r="JM26" s="974"/>
      <c r="JN26" s="975"/>
      <c r="JO26" s="976"/>
      <c r="JP26" s="977"/>
      <c r="JQ26" s="977"/>
      <c r="JR26" s="973"/>
      <c r="JS26" s="973"/>
      <c r="JT26" s="973"/>
      <c r="JU26" s="965"/>
      <c r="JV26" s="972"/>
      <c r="JW26" s="972"/>
      <c r="JX26" s="966"/>
      <c r="JY26" s="973"/>
      <c r="JZ26" s="974"/>
      <c r="KA26" s="975"/>
      <c r="KB26" s="976"/>
      <c r="KC26" s="977"/>
      <c r="KD26" s="977"/>
      <c r="KE26" s="973"/>
      <c r="KF26" s="973"/>
      <c r="KG26" s="973"/>
      <c r="KH26" s="965"/>
      <c r="KI26" s="972"/>
      <c r="KJ26" s="972"/>
      <c r="KK26" s="966"/>
      <c r="KL26" s="973"/>
      <c r="KM26" s="974"/>
      <c r="KN26" s="975"/>
      <c r="KO26" s="976"/>
      <c r="KP26" s="977"/>
      <c r="KQ26" s="977"/>
      <c r="KR26" s="973"/>
      <c r="KS26" s="973"/>
      <c r="KT26" s="973"/>
      <c r="KU26" s="965"/>
      <c r="KV26" s="972"/>
      <c r="KW26" s="972"/>
      <c r="KX26" s="966"/>
      <c r="KY26" s="973"/>
      <c r="KZ26" s="974"/>
      <c r="LA26" s="975"/>
      <c r="LB26" s="976"/>
      <c r="LC26" s="977"/>
      <c r="LD26" s="977"/>
      <c r="LE26" s="973"/>
      <c r="LF26" s="973"/>
      <c r="LG26" s="973"/>
      <c r="LH26" s="965"/>
      <c r="LI26" s="972"/>
      <c r="LJ26" s="972"/>
      <c r="LK26" s="966"/>
      <c r="LL26" s="973"/>
      <c r="LM26" s="974"/>
      <c r="LN26" s="975"/>
      <c r="LO26" s="976"/>
      <c r="LP26" s="977"/>
      <c r="LQ26" s="977"/>
      <c r="LR26" s="973"/>
      <c r="LS26" s="973"/>
      <c r="LT26" s="973"/>
      <c r="LU26" s="965"/>
      <c r="LV26" s="972"/>
      <c r="LW26" s="972"/>
      <c r="LX26" s="966"/>
      <c r="LY26" s="973"/>
      <c r="LZ26" s="974"/>
      <c r="MA26" s="975"/>
      <c r="MB26" s="976"/>
      <c r="MC26" s="977"/>
      <c r="MD26" s="977"/>
      <c r="ME26" s="973"/>
      <c r="MF26" s="973"/>
      <c r="MG26" s="973"/>
    </row>
    <row r="27" spans="2:345">
      <c r="B27" s="196">
        <f>INDEX(Groups!$C$7:$C$65,MATCH(C27,Groups!$D$7:$D$65,0))</f>
        <v>16</v>
      </c>
      <c r="C27" s="197" t="str">
        <f>CalcD!$P$22</f>
        <v>USA</v>
      </c>
      <c r="D27" s="198">
        <f>INDEX(Groups!$C$7:$C$65,MATCH(E27,Groups!$D$7:$D$65,0))</f>
        <v>40</v>
      </c>
      <c r="E27" s="197" t="str">
        <f>CalcD!$Q$22</f>
        <v>Paraguay</v>
      </c>
      <c r="F27" s="199" t="str">
        <f>CalcD!$R$22</f>
        <v/>
      </c>
      <c r="G27" s="200" t="str">
        <f>CalcD!$S$22</f>
        <v/>
      </c>
      <c r="I27" s="196">
        <f t="shared" si="0"/>
        <v>16</v>
      </c>
      <c r="J27" s="197" t="str">
        <f t="shared" ref="J27:J32" si="14">$C27</f>
        <v>USA</v>
      </c>
      <c r="K27" s="198">
        <f t="shared" si="1"/>
        <v>40</v>
      </c>
      <c r="L27" s="197" t="str">
        <f t="shared" ref="L27:L32" si="15">$E27</f>
        <v>Paraguay</v>
      </c>
      <c r="M27" s="232"/>
      <c r="N27" s="232"/>
      <c r="O27" s="227"/>
      <c r="P27" s="198" t="str">
        <f t="shared" ref="P27:P32" si="16">IF(($F27&lt;&gt;"")*($G27&lt;&gt;"")*(M27&lt;&gt;"")*(N27&lt;&gt;""),($F27&gt;$G27)*(M27&gt;N27)+($F27=$G27)*(M27=N27)+($F27&lt;$G27)*(M27&lt;N27),"")</f>
        <v/>
      </c>
      <c r="Q27" s="198" t="str">
        <f>IF((P27&lt;&gt;""),IF(OR($F27&lt;&gt;$G27,PrSettings!$M$4="●"),(($F27-$G27)=(M27-N27))*1,0),"")</f>
        <v/>
      </c>
      <c r="R27" s="198" t="str">
        <f t="shared" ref="R27:R32" si="17">IF((P27&lt;&gt;""),($F27=M27)*($G27=N27),"")</f>
        <v/>
      </c>
      <c r="S27" s="198" t="str">
        <f>IF(P27&lt;&gt;"",IF(ABS($F27-$G27)&gt;=PrSettings!$M$7,(ABS($F27-$G27-M27+N27)&lt;=1)*1,IF(AND(P27,$F27=$G27,$F27&gt;=PrSettings!$M$6),(ABS(M27-$F27)&lt;=1)*1,IF(AND(P27,$F27+$G27&gt;=PrSettings!$M$8),(ABS(M27-$F27)+ABS(N27-$G27)&lt;=1)*1,""))),"")</f>
        <v/>
      </c>
      <c r="T27" s="988"/>
      <c r="U27" s="965"/>
      <c r="V27" s="966"/>
      <c r="W27" s="973"/>
      <c r="X27" s="966"/>
      <c r="Y27" s="973"/>
      <c r="Z27" s="978"/>
      <c r="AA27" s="978"/>
      <c r="AB27" s="966"/>
      <c r="AC27" s="966"/>
      <c r="AD27" s="966"/>
      <c r="AE27" s="966"/>
      <c r="AF27" s="966"/>
      <c r="AG27" s="966"/>
      <c r="AH27" s="965"/>
      <c r="AI27" s="966"/>
      <c r="AJ27" s="973"/>
      <c r="AK27" s="966"/>
      <c r="AL27" s="973"/>
      <c r="AM27" s="978"/>
      <c r="AN27" s="978"/>
      <c r="AO27" s="966"/>
      <c r="AP27" s="966"/>
      <c r="AQ27" s="966"/>
      <c r="AR27" s="966"/>
      <c r="AS27" s="966"/>
      <c r="AT27" s="966"/>
      <c r="AU27" s="965"/>
      <c r="AV27" s="966"/>
      <c r="AW27" s="973"/>
      <c r="AX27" s="966"/>
      <c r="AY27" s="973"/>
      <c r="AZ27" s="978"/>
      <c r="BA27" s="978"/>
      <c r="BB27" s="966"/>
      <c r="BC27" s="966"/>
      <c r="BD27" s="966"/>
      <c r="BE27" s="966"/>
      <c r="BF27" s="966"/>
      <c r="BG27" s="966"/>
      <c r="BH27" s="965"/>
      <c r="BI27" s="966"/>
      <c r="BJ27" s="973"/>
      <c r="BK27" s="966"/>
      <c r="BL27" s="973"/>
      <c r="BM27" s="978"/>
      <c r="BN27" s="978"/>
      <c r="BO27" s="966"/>
      <c r="BP27" s="966"/>
      <c r="BQ27" s="966"/>
      <c r="BR27" s="966"/>
      <c r="BS27" s="966"/>
      <c r="BT27" s="966"/>
      <c r="BU27" s="965"/>
      <c r="BV27" s="966"/>
      <c r="BW27" s="973"/>
      <c r="BX27" s="966"/>
      <c r="BY27" s="973"/>
      <c r="BZ27" s="978"/>
      <c r="CA27" s="978"/>
      <c r="CB27" s="966"/>
      <c r="CC27" s="966"/>
      <c r="CD27" s="966"/>
      <c r="CE27" s="966"/>
      <c r="CF27" s="966"/>
      <c r="CG27" s="966"/>
      <c r="CH27" s="965"/>
      <c r="CI27" s="966"/>
      <c r="CJ27" s="973"/>
      <c r="CK27" s="966"/>
      <c r="CL27" s="973"/>
      <c r="CM27" s="978"/>
      <c r="CN27" s="978"/>
      <c r="CO27" s="966"/>
      <c r="CP27" s="966"/>
      <c r="CQ27" s="966"/>
      <c r="CR27" s="966"/>
      <c r="CS27" s="966"/>
      <c r="CT27" s="966"/>
      <c r="CU27" s="965"/>
      <c r="CV27" s="966"/>
      <c r="CW27" s="973"/>
      <c r="CX27" s="966"/>
      <c r="CY27" s="973"/>
      <c r="CZ27" s="978"/>
      <c r="DA27" s="978"/>
      <c r="DB27" s="966"/>
      <c r="DC27" s="966"/>
      <c r="DD27" s="966"/>
      <c r="DE27" s="966"/>
      <c r="DF27" s="966"/>
      <c r="DG27" s="966"/>
      <c r="DH27" s="965"/>
      <c r="DI27" s="966"/>
      <c r="DJ27" s="973"/>
      <c r="DK27" s="966"/>
      <c r="DL27" s="973"/>
      <c r="DM27" s="978"/>
      <c r="DN27" s="978"/>
      <c r="DO27" s="966"/>
      <c r="DP27" s="966"/>
      <c r="DQ27" s="966"/>
      <c r="DR27" s="966"/>
      <c r="DS27" s="966"/>
      <c r="DT27" s="966"/>
      <c r="DU27" s="965"/>
      <c r="DV27" s="966"/>
      <c r="DW27" s="973"/>
      <c r="DX27" s="966"/>
      <c r="DY27" s="973"/>
      <c r="DZ27" s="978"/>
      <c r="EA27" s="978"/>
      <c r="EB27" s="966"/>
      <c r="EC27" s="966"/>
      <c r="ED27" s="966"/>
      <c r="EE27" s="966"/>
      <c r="EF27" s="966"/>
      <c r="EG27" s="966"/>
      <c r="EH27" s="965"/>
      <c r="EI27" s="966"/>
      <c r="EJ27" s="973"/>
      <c r="EK27" s="966"/>
      <c r="EL27" s="973"/>
      <c r="EM27" s="978"/>
      <c r="EN27" s="978"/>
      <c r="EO27" s="966"/>
      <c r="EP27" s="966"/>
      <c r="EQ27" s="966"/>
      <c r="ER27" s="966"/>
      <c r="ES27" s="966"/>
      <c r="ET27" s="966"/>
      <c r="EU27" s="965"/>
      <c r="EV27" s="966"/>
      <c r="EW27" s="973"/>
      <c r="EX27" s="966"/>
      <c r="EY27" s="973"/>
      <c r="EZ27" s="978"/>
      <c r="FA27" s="978"/>
      <c r="FB27" s="966"/>
      <c r="FC27" s="966"/>
      <c r="FD27" s="966"/>
      <c r="FE27" s="966"/>
      <c r="FF27" s="966"/>
      <c r="FG27" s="966"/>
      <c r="FH27" s="965"/>
      <c r="FI27" s="966"/>
      <c r="FJ27" s="973"/>
      <c r="FK27" s="966"/>
      <c r="FL27" s="973"/>
      <c r="FM27" s="978"/>
      <c r="FN27" s="978"/>
      <c r="FO27" s="966"/>
      <c r="FP27" s="966"/>
      <c r="FQ27" s="966"/>
      <c r="FR27" s="966"/>
      <c r="FS27" s="966"/>
      <c r="FT27" s="966"/>
      <c r="FU27" s="965"/>
      <c r="FV27" s="966"/>
      <c r="FW27" s="973"/>
      <c r="FX27" s="966"/>
      <c r="FY27" s="973"/>
      <c r="FZ27" s="978"/>
      <c r="GA27" s="978"/>
      <c r="GB27" s="966"/>
      <c r="GC27" s="966"/>
      <c r="GD27" s="966"/>
      <c r="GE27" s="966"/>
      <c r="GF27" s="966"/>
      <c r="GG27" s="966"/>
      <c r="GH27" s="965"/>
      <c r="GI27" s="966"/>
      <c r="GJ27" s="973"/>
      <c r="GK27" s="966"/>
      <c r="GL27" s="973"/>
      <c r="GM27" s="978"/>
      <c r="GN27" s="978"/>
      <c r="GO27" s="966"/>
      <c r="GP27" s="966"/>
      <c r="GQ27" s="966"/>
      <c r="GR27" s="966"/>
      <c r="GS27" s="966"/>
      <c r="GT27" s="966"/>
      <c r="GU27" s="965"/>
      <c r="GV27" s="966"/>
      <c r="GW27" s="973"/>
      <c r="GX27" s="966"/>
      <c r="GY27" s="973"/>
      <c r="GZ27" s="978"/>
      <c r="HA27" s="978"/>
      <c r="HB27" s="966"/>
      <c r="HC27" s="966"/>
      <c r="HD27" s="966"/>
      <c r="HE27" s="966"/>
      <c r="HF27" s="966"/>
      <c r="HG27" s="966"/>
      <c r="HH27" s="965"/>
      <c r="HI27" s="966"/>
      <c r="HJ27" s="973"/>
      <c r="HK27" s="966"/>
      <c r="HL27" s="973"/>
      <c r="HM27" s="978"/>
      <c r="HN27" s="978"/>
      <c r="HO27" s="966"/>
      <c r="HP27" s="966"/>
      <c r="HQ27" s="966"/>
      <c r="HR27" s="966"/>
      <c r="HS27" s="966"/>
      <c r="HT27" s="966"/>
      <c r="HU27" s="965"/>
      <c r="HV27" s="966"/>
      <c r="HW27" s="973"/>
      <c r="HX27" s="966"/>
      <c r="HY27" s="973"/>
      <c r="HZ27" s="978"/>
      <c r="IA27" s="978"/>
      <c r="IB27" s="966"/>
      <c r="IC27" s="966"/>
      <c r="ID27" s="966"/>
      <c r="IE27" s="966"/>
      <c r="IF27" s="966"/>
      <c r="IG27" s="966"/>
      <c r="IH27" s="965"/>
      <c r="II27" s="966"/>
      <c r="IJ27" s="973"/>
      <c r="IK27" s="966"/>
      <c r="IL27" s="973"/>
      <c r="IM27" s="978"/>
      <c r="IN27" s="978"/>
      <c r="IO27" s="966"/>
      <c r="IP27" s="966"/>
      <c r="IQ27" s="966"/>
      <c r="IR27" s="966"/>
      <c r="IS27" s="966"/>
      <c r="IT27" s="966"/>
      <c r="IU27" s="965"/>
      <c r="IV27" s="966"/>
      <c r="IW27" s="973"/>
      <c r="IX27" s="966"/>
      <c r="IY27" s="973"/>
      <c r="IZ27" s="978"/>
      <c r="JA27" s="978"/>
      <c r="JB27" s="966"/>
      <c r="JC27" s="966"/>
      <c r="JD27" s="966"/>
      <c r="JE27" s="966"/>
      <c r="JF27" s="966"/>
      <c r="JG27" s="966"/>
      <c r="JH27" s="965"/>
      <c r="JI27" s="966"/>
      <c r="JJ27" s="973"/>
      <c r="JK27" s="966"/>
      <c r="JL27" s="973"/>
      <c r="JM27" s="978"/>
      <c r="JN27" s="978"/>
      <c r="JO27" s="966"/>
      <c r="JP27" s="966"/>
      <c r="JQ27" s="966"/>
      <c r="JR27" s="966"/>
      <c r="JS27" s="966"/>
      <c r="JT27" s="966"/>
      <c r="JU27" s="965"/>
      <c r="JV27" s="966"/>
      <c r="JW27" s="973"/>
      <c r="JX27" s="966"/>
      <c r="JY27" s="973"/>
      <c r="JZ27" s="978"/>
      <c r="KA27" s="978"/>
      <c r="KB27" s="966"/>
      <c r="KC27" s="966"/>
      <c r="KD27" s="966"/>
      <c r="KE27" s="966"/>
      <c r="KF27" s="966"/>
      <c r="KG27" s="966"/>
      <c r="KH27" s="965"/>
      <c r="KI27" s="966"/>
      <c r="KJ27" s="973"/>
      <c r="KK27" s="966"/>
      <c r="KL27" s="973"/>
      <c r="KM27" s="978"/>
      <c r="KN27" s="978"/>
      <c r="KO27" s="966"/>
      <c r="KP27" s="966"/>
      <c r="KQ27" s="966"/>
      <c r="KR27" s="966"/>
      <c r="KS27" s="966"/>
      <c r="KT27" s="966"/>
      <c r="KU27" s="965"/>
      <c r="KV27" s="966"/>
      <c r="KW27" s="973"/>
      <c r="KX27" s="966"/>
      <c r="KY27" s="973"/>
      <c r="KZ27" s="978"/>
      <c r="LA27" s="978"/>
      <c r="LB27" s="966"/>
      <c r="LC27" s="966"/>
      <c r="LD27" s="966"/>
      <c r="LE27" s="966"/>
      <c r="LF27" s="966"/>
      <c r="LG27" s="966"/>
      <c r="LH27" s="965"/>
      <c r="LI27" s="966"/>
      <c r="LJ27" s="973"/>
      <c r="LK27" s="966"/>
      <c r="LL27" s="973"/>
      <c r="LM27" s="978"/>
      <c r="LN27" s="978"/>
      <c r="LO27" s="966"/>
      <c r="LP27" s="966"/>
      <c r="LQ27" s="966"/>
      <c r="LR27" s="966"/>
      <c r="LS27" s="966"/>
      <c r="LT27" s="966"/>
      <c r="LU27" s="965"/>
      <c r="LV27" s="966"/>
      <c r="LW27" s="973"/>
      <c r="LX27" s="966"/>
      <c r="LY27" s="973"/>
      <c r="LZ27" s="978"/>
      <c r="MA27" s="978"/>
      <c r="MB27" s="966"/>
      <c r="MC27" s="966"/>
      <c r="MD27" s="966"/>
      <c r="ME27" s="966"/>
      <c r="MF27" s="966"/>
      <c r="MG27" s="966"/>
    </row>
    <row r="28" spans="2:345">
      <c r="B28" s="196">
        <f>INDEX(Groups!$C$7:$C$65,MATCH(C28,Groups!$D$7:$D$65,0))</f>
        <v>27</v>
      </c>
      <c r="C28" s="197" t="str">
        <f>CalcD!$P$23</f>
        <v>Australië</v>
      </c>
      <c r="D28" s="198">
        <f>INDEX(Groups!$C$7:$C$65,MATCH(E28,Groups!$D$7:$D$65,0))</f>
        <v>22</v>
      </c>
      <c r="E28" s="197" t="str">
        <f>CalcD!$Q$23</f>
        <v>Turkije</v>
      </c>
      <c r="F28" s="725" t="str">
        <f>CalcD!$R$23</f>
        <v/>
      </c>
      <c r="G28" s="200" t="str">
        <f>CalcD!$S$23</f>
        <v/>
      </c>
      <c r="I28" s="196">
        <f t="shared" si="0"/>
        <v>27</v>
      </c>
      <c r="J28" s="197" t="str">
        <f t="shared" si="14"/>
        <v>Australië</v>
      </c>
      <c r="K28" s="198">
        <f t="shared" si="1"/>
        <v>22</v>
      </c>
      <c r="L28" s="197" t="str">
        <f t="shared" si="15"/>
        <v>Turkije</v>
      </c>
      <c r="M28" s="232"/>
      <c r="N28" s="232"/>
      <c r="O28" s="228"/>
      <c r="P28" s="198" t="str">
        <f t="shared" si="16"/>
        <v/>
      </c>
      <c r="Q28" s="198" t="str">
        <f>IF((P28&lt;&gt;""),IF(OR($F28&lt;&gt;$G28,PrSettings!$M$4="●"),(($F28-$G28)=(M28-N28))*1,0),"")</f>
        <v/>
      </c>
      <c r="R28" s="198" t="str">
        <f t="shared" si="17"/>
        <v/>
      </c>
      <c r="S28" s="198" t="str">
        <f>IF(P28&lt;&gt;"",IF(ABS($F28-$G28)&gt;=PrSettings!$M$7,(ABS($F28-$G28-M28+N28)&lt;=1)*1,IF(AND(P28,$F28=$G28,$F28&gt;=PrSettings!$M$6),(ABS(M28-$F28)&lt;=1)*1,IF(AND(P28,$F28+$G28&gt;=PrSettings!$M$8),(ABS(M28-$F28)+ABS(N28-$G28)&lt;=1)*1,""))),"")</f>
        <v/>
      </c>
      <c r="T28" s="989"/>
      <c r="U28" s="965"/>
      <c r="V28" s="966"/>
      <c r="W28" s="973"/>
      <c r="X28" s="966"/>
      <c r="Y28" s="973"/>
      <c r="Z28" s="978"/>
      <c r="AA28" s="978"/>
      <c r="AB28" s="966"/>
      <c r="AC28" s="966"/>
      <c r="AD28" s="966"/>
      <c r="AE28" s="966"/>
      <c r="AF28" s="966"/>
      <c r="AG28" s="966"/>
      <c r="AH28" s="965"/>
      <c r="AI28" s="966"/>
      <c r="AJ28" s="973"/>
      <c r="AK28" s="966"/>
      <c r="AL28" s="973"/>
      <c r="AM28" s="978"/>
      <c r="AN28" s="978"/>
      <c r="AO28" s="966"/>
      <c r="AP28" s="966"/>
      <c r="AQ28" s="966"/>
      <c r="AR28" s="966"/>
      <c r="AS28" s="966"/>
      <c r="AT28" s="966"/>
      <c r="AU28" s="965"/>
      <c r="AV28" s="966"/>
      <c r="AW28" s="973"/>
      <c r="AX28" s="966"/>
      <c r="AY28" s="973"/>
      <c r="AZ28" s="978"/>
      <c r="BA28" s="978"/>
      <c r="BB28" s="966"/>
      <c r="BC28" s="966"/>
      <c r="BD28" s="966"/>
      <c r="BE28" s="966"/>
      <c r="BF28" s="966"/>
      <c r="BG28" s="966"/>
      <c r="BH28" s="965"/>
      <c r="BI28" s="966"/>
      <c r="BJ28" s="973"/>
      <c r="BK28" s="966"/>
      <c r="BL28" s="973"/>
      <c r="BM28" s="978"/>
      <c r="BN28" s="978"/>
      <c r="BO28" s="966"/>
      <c r="BP28" s="966"/>
      <c r="BQ28" s="966"/>
      <c r="BR28" s="966"/>
      <c r="BS28" s="966"/>
      <c r="BT28" s="966"/>
      <c r="BU28" s="965"/>
      <c r="BV28" s="966"/>
      <c r="BW28" s="973"/>
      <c r="BX28" s="966"/>
      <c r="BY28" s="973"/>
      <c r="BZ28" s="978"/>
      <c r="CA28" s="978"/>
      <c r="CB28" s="966"/>
      <c r="CC28" s="966"/>
      <c r="CD28" s="966"/>
      <c r="CE28" s="966"/>
      <c r="CF28" s="966"/>
      <c r="CG28" s="966"/>
      <c r="CH28" s="965"/>
      <c r="CI28" s="966"/>
      <c r="CJ28" s="973"/>
      <c r="CK28" s="966"/>
      <c r="CL28" s="973"/>
      <c r="CM28" s="978"/>
      <c r="CN28" s="978"/>
      <c r="CO28" s="966"/>
      <c r="CP28" s="966"/>
      <c r="CQ28" s="966"/>
      <c r="CR28" s="966"/>
      <c r="CS28" s="966"/>
      <c r="CT28" s="966"/>
      <c r="CU28" s="965"/>
      <c r="CV28" s="966"/>
      <c r="CW28" s="973"/>
      <c r="CX28" s="966"/>
      <c r="CY28" s="973"/>
      <c r="CZ28" s="978"/>
      <c r="DA28" s="978"/>
      <c r="DB28" s="966"/>
      <c r="DC28" s="966"/>
      <c r="DD28" s="966"/>
      <c r="DE28" s="966"/>
      <c r="DF28" s="966"/>
      <c r="DG28" s="966"/>
      <c r="DH28" s="965"/>
      <c r="DI28" s="966"/>
      <c r="DJ28" s="973"/>
      <c r="DK28" s="966"/>
      <c r="DL28" s="973"/>
      <c r="DM28" s="978"/>
      <c r="DN28" s="978"/>
      <c r="DO28" s="966"/>
      <c r="DP28" s="966"/>
      <c r="DQ28" s="966"/>
      <c r="DR28" s="966"/>
      <c r="DS28" s="966"/>
      <c r="DT28" s="966"/>
      <c r="DU28" s="965"/>
      <c r="DV28" s="966"/>
      <c r="DW28" s="973"/>
      <c r="DX28" s="966"/>
      <c r="DY28" s="973"/>
      <c r="DZ28" s="978"/>
      <c r="EA28" s="978"/>
      <c r="EB28" s="966"/>
      <c r="EC28" s="966"/>
      <c r="ED28" s="966"/>
      <c r="EE28" s="966"/>
      <c r="EF28" s="966"/>
      <c r="EG28" s="966"/>
      <c r="EH28" s="965"/>
      <c r="EI28" s="966"/>
      <c r="EJ28" s="973"/>
      <c r="EK28" s="966"/>
      <c r="EL28" s="973"/>
      <c r="EM28" s="978"/>
      <c r="EN28" s="978"/>
      <c r="EO28" s="966"/>
      <c r="EP28" s="966"/>
      <c r="EQ28" s="966"/>
      <c r="ER28" s="966"/>
      <c r="ES28" s="966"/>
      <c r="ET28" s="966"/>
      <c r="EU28" s="965"/>
      <c r="EV28" s="966"/>
      <c r="EW28" s="973"/>
      <c r="EX28" s="966"/>
      <c r="EY28" s="973"/>
      <c r="EZ28" s="978"/>
      <c r="FA28" s="978"/>
      <c r="FB28" s="966"/>
      <c r="FC28" s="966"/>
      <c r="FD28" s="966"/>
      <c r="FE28" s="966"/>
      <c r="FF28" s="966"/>
      <c r="FG28" s="966"/>
      <c r="FH28" s="965"/>
      <c r="FI28" s="966"/>
      <c r="FJ28" s="973"/>
      <c r="FK28" s="966"/>
      <c r="FL28" s="973"/>
      <c r="FM28" s="978"/>
      <c r="FN28" s="978"/>
      <c r="FO28" s="966"/>
      <c r="FP28" s="966"/>
      <c r="FQ28" s="966"/>
      <c r="FR28" s="966"/>
      <c r="FS28" s="966"/>
      <c r="FT28" s="966"/>
      <c r="FU28" s="965"/>
      <c r="FV28" s="966"/>
      <c r="FW28" s="973"/>
      <c r="FX28" s="966"/>
      <c r="FY28" s="973"/>
      <c r="FZ28" s="978"/>
      <c r="GA28" s="978"/>
      <c r="GB28" s="966"/>
      <c r="GC28" s="966"/>
      <c r="GD28" s="966"/>
      <c r="GE28" s="966"/>
      <c r="GF28" s="966"/>
      <c r="GG28" s="966"/>
      <c r="GH28" s="965"/>
      <c r="GI28" s="966"/>
      <c r="GJ28" s="973"/>
      <c r="GK28" s="966"/>
      <c r="GL28" s="973"/>
      <c r="GM28" s="978"/>
      <c r="GN28" s="978"/>
      <c r="GO28" s="966"/>
      <c r="GP28" s="966"/>
      <c r="GQ28" s="966"/>
      <c r="GR28" s="966"/>
      <c r="GS28" s="966"/>
      <c r="GT28" s="966"/>
      <c r="GU28" s="965"/>
      <c r="GV28" s="966"/>
      <c r="GW28" s="973"/>
      <c r="GX28" s="966"/>
      <c r="GY28" s="973"/>
      <c r="GZ28" s="978"/>
      <c r="HA28" s="978"/>
      <c r="HB28" s="966"/>
      <c r="HC28" s="966"/>
      <c r="HD28" s="966"/>
      <c r="HE28" s="966"/>
      <c r="HF28" s="966"/>
      <c r="HG28" s="966"/>
      <c r="HH28" s="965"/>
      <c r="HI28" s="966"/>
      <c r="HJ28" s="973"/>
      <c r="HK28" s="966"/>
      <c r="HL28" s="973"/>
      <c r="HM28" s="978"/>
      <c r="HN28" s="978"/>
      <c r="HO28" s="966"/>
      <c r="HP28" s="966"/>
      <c r="HQ28" s="966"/>
      <c r="HR28" s="966"/>
      <c r="HS28" s="966"/>
      <c r="HT28" s="966"/>
      <c r="HU28" s="965"/>
      <c r="HV28" s="966"/>
      <c r="HW28" s="973"/>
      <c r="HX28" s="966"/>
      <c r="HY28" s="973"/>
      <c r="HZ28" s="978"/>
      <c r="IA28" s="978"/>
      <c r="IB28" s="966"/>
      <c r="IC28" s="966"/>
      <c r="ID28" s="966"/>
      <c r="IE28" s="966"/>
      <c r="IF28" s="966"/>
      <c r="IG28" s="966"/>
      <c r="IH28" s="965"/>
      <c r="II28" s="966"/>
      <c r="IJ28" s="973"/>
      <c r="IK28" s="966"/>
      <c r="IL28" s="973"/>
      <c r="IM28" s="978"/>
      <c r="IN28" s="978"/>
      <c r="IO28" s="966"/>
      <c r="IP28" s="966"/>
      <c r="IQ28" s="966"/>
      <c r="IR28" s="966"/>
      <c r="IS28" s="966"/>
      <c r="IT28" s="966"/>
      <c r="IU28" s="965"/>
      <c r="IV28" s="966"/>
      <c r="IW28" s="973"/>
      <c r="IX28" s="966"/>
      <c r="IY28" s="973"/>
      <c r="IZ28" s="978"/>
      <c r="JA28" s="978"/>
      <c r="JB28" s="966"/>
      <c r="JC28" s="966"/>
      <c r="JD28" s="966"/>
      <c r="JE28" s="966"/>
      <c r="JF28" s="966"/>
      <c r="JG28" s="966"/>
      <c r="JH28" s="965"/>
      <c r="JI28" s="966"/>
      <c r="JJ28" s="973"/>
      <c r="JK28" s="966"/>
      <c r="JL28" s="973"/>
      <c r="JM28" s="978"/>
      <c r="JN28" s="978"/>
      <c r="JO28" s="966"/>
      <c r="JP28" s="966"/>
      <c r="JQ28" s="966"/>
      <c r="JR28" s="966"/>
      <c r="JS28" s="966"/>
      <c r="JT28" s="966"/>
      <c r="JU28" s="965"/>
      <c r="JV28" s="966"/>
      <c r="JW28" s="973"/>
      <c r="JX28" s="966"/>
      <c r="JY28" s="973"/>
      <c r="JZ28" s="978"/>
      <c r="KA28" s="978"/>
      <c r="KB28" s="966"/>
      <c r="KC28" s="966"/>
      <c r="KD28" s="966"/>
      <c r="KE28" s="966"/>
      <c r="KF28" s="966"/>
      <c r="KG28" s="966"/>
      <c r="KH28" s="965"/>
      <c r="KI28" s="966"/>
      <c r="KJ28" s="973"/>
      <c r="KK28" s="966"/>
      <c r="KL28" s="973"/>
      <c r="KM28" s="978"/>
      <c r="KN28" s="978"/>
      <c r="KO28" s="966"/>
      <c r="KP28" s="966"/>
      <c r="KQ28" s="966"/>
      <c r="KR28" s="966"/>
      <c r="KS28" s="966"/>
      <c r="KT28" s="966"/>
      <c r="KU28" s="965"/>
      <c r="KV28" s="966"/>
      <c r="KW28" s="973"/>
      <c r="KX28" s="966"/>
      <c r="KY28" s="973"/>
      <c r="KZ28" s="978"/>
      <c r="LA28" s="978"/>
      <c r="LB28" s="966"/>
      <c r="LC28" s="966"/>
      <c r="LD28" s="966"/>
      <c r="LE28" s="966"/>
      <c r="LF28" s="966"/>
      <c r="LG28" s="966"/>
      <c r="LH28" s="965"/>
      <c r="LI28" s="966"/>
      <c r="LJ28" s="973"/>
      <c r="LK28" s="966"/>
      <c r="LL28" s="973"/>
      <c r="LM28" s="978"/>
      <c r="LN28" s="978"/>
      <c r="LO28" s="966"/>
      <c r="LP28" s="966"/>
      <c r="LQ28" s="966"/>
      <c r="LR28" s="966"/>
      <c r="LS28" s="966"/>
      <c r="LT28" s="966"/>
      <c r="LU28" s="965"/>
      <c r="LV28" s="966"/>
      <c r="LW28" s="973"/>
      <c r="LX28" s="966"/>
      <c r="LY28" s="973"/>
      <c r="LZ28" s="978"/>
      <c r="MA28" s="978"/>
      <c r="MB28" s="966"/>
      <c r="MC28" s="966"/>
      <c r="MD28" s="966"/>
      <c r="ME28" s="966"/>
      <c r="MF28" s="966"/>
      <c r="MG28" s="966"/>
    </row>
    <row r="29" spans="2:345">
      <c r="B29" s="196">
        <f>INDEX(Groups!$C$7:$C$65,MATCH(C29,Groups!$D$7:$D$65,0))</f>
        <v>16</v>
      </c>
      <c r="C29" s="197" t="str">
        <f>CalcD!$P$24</f>
        <v>USA</v>
      </c>
      <c r="D29" s="198">
        <f>INDEX(Groups!$C$7:$C$65,MATCH(E29,Groups!$D$7:$D$65,0))</f>
        <v>27</v>
      </c>
      <c r="E29" s="197" t="str">
        <f>CalcD!$Q$24</f>
        <v>Australië</v>
      </c>
      <c r="F29" s="199" t="str">
        <f>CalcD!$R$24</f>
        <v/>
      </c>
      <c r="G29" s="200" t="str">
        <f>CalcD!$S$24</f>
        <v/>
      </c>
      <c r="I29" s="196">
        <f t="shared" si="0"/>
        <v>16</v>
      </c>
      <c r="J29" s="197" t="str">
        <f t="shared" si="14"/>
        <v>USA</v>
      </c>
      <c r="K29" s="198">
        <f t="shared" si="1"/>
        <v>27</v>
      </c>
      <c r="L29" s="197" t="str">
        <f t="shared" si="15"/>
        <v>Australië</v>
      </c>
      <c r="M29" s="232"/>
      <c r="N29" s="232"/>
      <c r="O29" s="228"/>
      <c r="P29" s="198" t="str">
        <f t="shared" si="16"/>
        <v/>
      </c>
      <c r="Q29" s="198" t="str">
        <f>IF((P29&lt;&gt;""),IF(OR($F29&lt;&gt;$G29,PrSettings!$M$4="●"),(($F29-$G29)=(M29-N29))*1,0),"")</f>
        <v/>
      </c>
      <c r="R29" s="198" t="str">
        <f t="shared" si="17"/>
        <v/>
      </c>
      <c r="S29" s="198" t="str">
        <f>IF(P29&lt;&gt;"",IF(ABS($F29-$G29)&gt;=PrSettings!$M$7,(ABS($F29-$G29-M29+N29)&lt;=1)*1,IF(AND(P29,$F29=$G29,$F29&gt;=PrSettings!$M$6),(ABS(M29-$F29)&lt;=1)*1,IF(AND(P29,$F29+$G29&gt;=PrSettings!$M$8),(ABS(M29-$F29)+ABS(N29-$G29)&lt;=1)*1,""))),"")</f>
        <v/>
      </c>
      <c r="T29" s="989"/>
      <c r="U29" s="965"/>
      <c r="V29" s="966"/>
      <c r="W29" s="973"/>
      <c r="X29" s="966"/>
      <c r="Y29" s="973"/>
      <c r="Z29" s="978"/>
      <c r="AA29" s="978"/>
      <c r="AB29" s="966"/>
      <c r="AC29" s="966"/>
      <c r="AD29" s="966"/>
      <c r="AE29" s="966"/>
      <c r="AF29" s="966"/>
      <c r="AG29" s="966"/>
      <c r="AH29" s="965"/>
      <c r="AI29" s="966"/>
      <c r="AJ29" s="973"/>
      <c r="AK29" s="966"/>
      <c r="AL29" s="973"/>
      <c r="AM29" s="978"/>
      <c r="AN29" s="978"/>
      <c r="AO29" s="966"/>
      <c r="AP29" s="966"/>
      <c r="AQ29" s="966"/>
      <c r="AR29" s="966"/>
      <c r="AS29" s="966"/>
      <c r="AT29" s="966"/>
      <c r="AU29" s="965"/>
      <c r="AV29" s="966"/>
      <c r="AW29" s="973"/>
      <c r="AX29" s="966"/>
      <c r="AY29" s="973"/>
      <c r="AZ29" s="978"/>
      <c r="BA29" s="978"/>
      <c r="BB29" s="966"/>
      <c r="BC29" s="966"/>
      <c r="BD29" s="966"/>
      <c r="BE29" s="966"/>
      <c r="BF29" s="966"/>
      <c r="BG29" s="966"/>
      <c r="BH29" s="965"/>
      <c r="BI29" s="966"/>
      <c r="BJ29" s="973"/>
      <c r="BK29" s="966"/>
      <c r="BL29" s="973"/>
      <c r="BM29" s="978"/>
      <c r="BN29" s="978"/>
      <c r="BO29" s="966"/>
      <c r="BP29" s="966"/>
      <c r="BQ29" s="966"/>
      <c r="BR29" s="966"/>
      <c r="BS29" s="966"/>
      <c r="BT29" s="966"/>
      <c r="BU29" s="965"/>
      <c r="BV29" s="966"/>
      <c r="BW29" s="973"/>
      <c r="BX29" s="966"/>
      <c r="BY29" s="973"/>
      <c r="BZ29" s="978"/>
      <c r="CA29" s="978"/>
      <c r="CB29" s="966"/>
      <c r="CC29" s="966"/>
      <c r="CD29" s="966"/>
      <c r="CE29" s="966"/>
      <c r="CF29" s="966"/>
      <c r="CG29" s="966"/>
      <c r="CH29" s="965"/>
      <c r="CI29" s="966"/>
      <c r="CJ29" s="973"/>
      <c r="CK29" s="966"/>
      <c r="CL29" s="973"/>
      <c r="CM29" s="978"/>
      <c r="CN29" s="978"/>
      <c r="CO29" s="966"/>
      <c r="CP29" s="966"/>
      <c r="CQ29" s="966"/>
      <c r="CR29" s="966"/>
      <c r="CS29" s="966"/>
      <c r="CT29" s="966"/>
      <c r="CU29" s="965"/>
      <c r="CV29" s="966"/>
      <c r="CW29" s="973"/>
      <c r="CX29" s="966"/>
      <c r="CY29" s="973"/>
      <c r="CZ29" s="978"/>
      <c r="DA29" s="978"/>
      <c r="DB29" s="966"/>
      <c r="DC29" s="966"/>
      <c r="DD29" s="966"/>
      <c r="DE29" s="966"/>
      <c r="DF29" s="966"/>
      <c r="DG29" s="966"/>
      <c r="DH29" s="965"/>
      <c r="DI29" s="966"/>
      <c r="DJ29" s="973"/>
      <c r="DK29" s="966"/>
      <c r="DL29" s="973"/>
      <c r="DM29" s="978"/>
      <c r="DN29" s="978"/>
      <c r="DO29" s="966"/>
      <c r="DP29" s="966"/>
      <c r="DQ29" s="966"/>
      <c r="DR29" s="966"/>
      <c r="DS29" s="966"/>
      <c r="DT29" s="966"/>
      <c r="DU29" s="965"/>
      <c r="DV29" s="966"/>
      <c r="DW29" s="973"/>
      <c r="DX29" s="966"/>
      <c r="DY29" s="973"/>
      <c r="DZ29" s="978"/>
      <c r="EA29" s="978"/>
      <c r="EB29" s="966"/>
      <c r="EC29" s="966"/>
      <c r="ED29" s="966"/>
      <c r="EE29" s="966"/>
      <c r="EF29" s="966"/>
      <c r="EG29" s="966"/>
      <c r="EH29" s="965"/>
      <c r="EI29" s="966"/>
      <c r="EJ29" s="973"/>
      <c r="EK29" s="966"/>
      <c r="EL29" s="973"/>
      <c r="EM29" s="978"/>
      <c r="EN29" s="978"/>
      <c r="EO29" s="966"/>
      <c r="EP29" s="966"/>
      <c r="EQ29" s="966"/>
      <c r="ER29" s="966"/>
      <c r="ES29" s="966"/>
      <c r="ET29" s="966"/>
      <c r="EU29" s="965"/>
      <c r="EV29" s="966"/>
      <c r="EW29" s="973"/>
      <c r="EX29" s="966"/>
      <c r="EY29" s="973"/>
      <c r="EZ29" s="978"/>
      <c r="FA29" s="978"/>
      <c r="FB29" s="966"/>
      <c r="FC29" s="966"/>
      <c r="FD29" s="966"/>
      <c r="FE29" s="966"/>
      <c r="FF29" s="966"/>
      <c r="FG29" s="966"/>
      <c r="FH29" s="965"/>
      <c r="FI29" s="966"/>
      <c r="FJ29" s="973"/>
      <c r="FK29" s="966"/>
      <c r="FL29" s="973"/>
      <c r="FM29" s="978"/>
      <c r="FN29" s="978"/>
      <c r="FO29" s="966"/>
      <c r="FP29" s="966"/>
      <c r="FQ29" s="966"/>
      <c r="FR29" s="966"/>
      <c r="FS29" s="966"/>
      <c r="FT29" s="966"/>
      <c r="FU29" s="965"/>
      <c r="FV29" s="966"/>
      <c r="FW29" s="973"/>
      <c r="FX29" s="966"/>
      <c r="FY29" s="973"/>
      <c r="FZ29" s="978"/>
      <c r="GA29" s="978"/>
      <c r="GB29" s="966"/>
      <c r="GC29" s="966"/>
      <c r="GD29" s="966"/>
      <c r="GE29" s="966"/>
      <c r="GF29" s="966"/>
      <c r="GG29" s="966"/>
      <c r="GH29" s="965"/>
      <c r="GI29" s="966"/>
      <c r="GJ29" s="973"/>
      <c r="GK29" s="966"/>
      <c r="GL29" s="973"/>
      <c r="GM29" s="978"/>
      <c r="GN29" s="978"/>
      <c r="GO29" s="966"/>
      <c r="GP29" s="966"/>
      <c r="GQ29" s="966"/>
      <c r="GR29" s="966"/>
      <c r="GS29" s="966"/>
      <c r="GT29" s="966"/>
      <c r="GU29" s="965"/>
      <c r="GV29" s="966"/>
      <c r="GW29" s="973"/>
      <c r="GX29" s="966"/>
      <c r="GY29" s="973"/>
      <c r="GZ29" s="978"/>
      <c r="HA29" s="978"/>
      <c r="HB29" s="966"/>
      <c r="HC29" s="966"/>
      <c r="HD29" s="966"/>
      <c r="HE29" s="966"/>
      <c r="HF29" s="966"/>
      <c r="HG29" s="966"/>
      <c r="HH29" s="965"/>
      <c r="HI29" s="966"/>
      <c r="HJ29" s="973"/>
      <c r="HK29" s="966"/>
      <c r="HL29" s="973"/>
      <c r="HM29" s="978"/>
      <c r="HN29" s="978"/>
      <c r="HO29" s="966"/>
      <c r="HP29" s="966"/>
      <c r="HQ29" s="966"/>
      <c r="HR29" s="966"/>
      <c r="HS29" s="966"/>
      <c r="HT29" s="966"/>
      <c r="HU29" s="965"/>
      <c r="HV29" s="966"/>
      <c r="HW29" s="973"/>
      <c r="HX29" s="966"/>
      <c r="HY29" s="973"/>
      <c r="HZ29" s="978"/>
      <c r="IA29" s="978"/>
      <c r="IB29" s="966"/>
      <c r="IC29" s="966"/>
      <c r="ID29" s="966"/>
      <c r="IE29" s="966"/>
      <c r="IF29" s="966"/>
      <c r="IG29" s="966"/>
      <c r="IH29" s="965"/>
      <c r="II29" s="966"/>
      <c r="IJ29" s="973"/>
      <c r="IK29" s="966"/>
      <c r="IL29" s="973"/>
      <c r="IM29" s="978"/>
      <c r="IN29" s="978"/>
      <c r="IO29" s="966"/>
      <c r="IP29" s="966"/>
      <c r="IQ29" s="966"/>
      <c r="IR29" s="966"/>
      <c r="IS29" s="966"/>
      <c r="IT29" s="966"/>
      <c r="IU29" s="965"/>
      <c r="IV29" s="966"/>
      <c r="IW29" s="973"/>
      <c r="IX29" s="966"/>
      <c r="IY29" s="973"/>
      <c r="IZ29" s="978"/>
      <c r="JA29" s="978"/>
      <c r="JB29" s="966"/>
      <c r="JC29" s="966"/>
      <c r="JD29" s="966"/>
      <c r="JE29" s="966"/>
      <c r="JF29" s="966"/>
      <c r="JG29" s="966"/>
      <c r="JH29" s="965"/>
      <c r="JI29" s="966"/>
      <c r="JJ29" s="973"/>
      <c r="JK29" s="966"/>
      <c r="JL29" s="973"/>
      <c r="JM29" s="978"/>
      <c r="JN29" s="978"/>
      <c r="JO29" s="966"/>
      <c r="JP29" s="966"/>
      <c r="JQ29" s="966"/>
      <c r="JR29" s="966"/>
      <c r="JS29" s="966"/>
      <c r="JT29" s="966"/>
      <c r="JU29" s="965"/>
      <c r="JV29" s="966"/>
      <c r="JW29" s="973"/>
      <c r="JX29" s="966"/>
      <c r="JY29" s="973"/>
      <c r="JZ29" s="978"/>
      <c r="KA29" s="978"/>
      <c r="KB29" s="966"/>
      <c r="KC29" s="966"/>
      <c r="KD29" s="966"/>
      <c r="KE29" s="966"/>
      <c r="KF29" s="966"/>
      <c r="KG29" s="966"/>
      <c r="KH29" s="965"/>
      <c r="KI29" s="966"/>
      <c r="KJ29" s="973"/>
      <c r="KK29" s="966"/>
      <c r="KL29" s="973"/>
      <c r="KM29" s="978"/>
      <c r="KN29" s="978"/>
      <c r="KO29" s="966"/>
      <c r="KP29" s="966"/>
      <c r="KQ29" s="966"/>
      <c r="KR29" s="966"/>
      <c r="KS29" s="966"/>
      <c r="KT29" s="966"/>
      <c r="KU29" s="965"/>
      <c r="KV29" s="966"/>
      <c r="KW29" s="973"/>
      <c r="KX29" s="966"/>
      <c r="KY29" s="973"/>
      <c r="KZ29" s="978"/>
      <c r="LA29" s="978"/>
      <c r="LB29" s="966"/>
      <c r="LC29" s="966"/>
      <c r="LD29" s="966"/>
      <c r="LE29" s="966"/>
      <c r="LF29" s="966"/>
      <c r="LG29" s="966"/>
      <c r="LH29" s="965"/>
      <c r="LI29" s="966"/>
      <c r="LJ29" s="973"/>
      <c r="LK29" s="966"/>
      <c r="LL29" s="973"/>
      <c r="LM29" s="978"/>
      <c r="LN29" s="978"/>
      <c r="LO29" s="966"/>
      <c r="LP29" s="966"/>
      <c r="LQ29" s="966"/>
      <c r="LR29" s="966"/>
      <c r="LS29" s="966"/>
      <c r="LT29" s="966"/>
      <c r="LU29" s="965"/>
      <c r="LV29" s="966"/>
      <c r="LW29" s="973"/>
      <c r="LX29" s="966"/>
      <c r="LY29" s="973"/>
      <c r="LZ29" s="978"/>
      <c r="MA29" s="978"/>
      <c r="MB29" s="966"/>
      <c r="MC29" s="966"/>
      <c r="MD29" s="966"/>
      <c r="ME29" s="966"/>
      <c r="MF29" s="966"/>
      <c r="MG29" s="966"/>
    </row>
    <row r="30" spans="2:345">
      <c r="B30" s="196">
        <f>INDEX(Groups!$C$7:$C$65,MATCH(C30,Groups!$D$7:$D$65,0))</f>
        <v>22</v>
      </c>
      <c r="C30" s="197" t="str">
        <f>CalcD!$P$25</f>
        <v>Turkije</v>
      </c>
      <c r="D30" s="198">
        <f>INDEX(Groups!$C$7:$C$65,MATCH(E30,Groups!$D$7:$D$65,0))</f>
        <v>40</v>
      </c>
      <c r="E30" s="197" t="str">
        <f>CalcD!$Q$25</f>
        <v>Paraguay</v>
      </c>
      <c r="F30" s="199" t="str">
        <f>CalcD!$R$25</f>
        <v/>
      </c>
      <c r="G30" s="200" t="str">
        <f>CalcD!$S$25</f>
        <v/>
      </c>
      <c r="I30" s="196">
        <f t="shared" si="0"/>
        <v>22</v>
      </c>
      <c r="J30" s="197" t="str">
        <f t="shared" si="14"/>
        <v>Turkije</v>
      </c>
      <c r="K30" s="198">
        <f t="shared" si="1"/>
        <v>40</v>
      </c>
      <c r="L30" s="197" t="str">
        <f t="shared" si="15"/>
        <v>Paraguay</v>
      </c>
      <c r="M30" s="232"/>
      <c r="N30" s="232"/>
      <c r="O30" s="228"/>
      <c r="P30" s="198" t="str">
        <f t="shared" si="16"/>
        <v/>
      </c>
      <c r="Q30" s="198" t="str">
        <f>IF((P30&lt;&gt;""),IF(OR($F30&lt;&gt;$G30,PrSettings!$M$4="●"),(($F30-$G30)=(M30-N30))*1,0),"")</f>
        <v/>
      </c>
      <c r="R30" s="198" t="str">
        <f t="shared" si="17"/>
        <v/>
      </c>
      <c r="S30" s="198" t="str">
        <f>IF(P30&lt;&gt;"",IF(ABS($F30-$G30)&gt;=PrSettings!$M$7,(ABS($F30-$G30-M30+N30)&lt;=1)*1,IF(AND(P30,$F30=$G30,$F30&gt;=PrSettings!$M$6),(ABS(M30-$F30)&lt;=1)*1,IF(AND(P30,$F30+$G30&gt;=PrSettings!$M$8),(ABS(M30-$F30)+ABS(N30-$G30)&lt;=1)*1,""))),"")</f>
        <v/>
      </c>
      <c r="T30" s="989"/>
      <c r="U30" s="965"/>
      <c r="V30" s="966"/>
      <c r="W30" s="973"/>
      <c r="X30" s="966"/>
      <c r="Y30" s="973"/>
      <c r="Z30" s="978"/>
      <c r="AA30" s="978"/>
      <c r="AB30" s="966"/>
      <c r="AC30" s="966"/>
      <c r="AD30" s="966"/>
      <c r="AE30" s="966"/>
      <c r="AF30" s="966"/>
      <c r="AG30" s="966"/>
      <c r="AH30" s="965"/>
      <c r="AI30" s="966"/>
      <c r="AJ30" s="973"/>
      <c r="AK30" s="966"/>
      <c r="AL30" s="973"/>
      <c r="AM30" s="978"/>
      <c r="AN30" s="978"/>
      <c r="AO30" s="966"/>
      <c r="AP30" s="966"/>
      <c r="AQ30" s="966"/>
      <c r="AR30" s="966"/>
      <c r="AS30" s="966"/>
      <c r="AT30" s="966"/>
      <c r="AU30" s="965"/>
      <c r="AV30" s="966"/>
      <c r="AW30" s="973"/>
      <c r="AX30" s="966"/>
      <c r="AY30" s="973"/>
      <c r="AZ30" s="978"/>
      <c r="BA30" s="978"/>
      <c r="BB30" s="966"/>
      <c r="BC30" s="966"/>
      <c r="BD30" s="966"/>
      <c r="BE30" s="966"/>
      <c r="BF30" s="966"/>
      <c r="BG30" s="966"/>
      <c r="BH30" s="965"/>
      <c r="BI30" s="966"/>
      <c r="BJ30" s="973"/>
      <c r="BK30" s="966"/>
      <c r="BL30" s="973"/>
      <c r="BM30" s="978"/>
      <c r="BN30" s="978"/>
      <c r="BO30" s="966"/>
      <c r="BP30" s="966"/>
      <c r="BQ30" s="966"/>
      <c r="BR30" s="966"/>
      <c r="BS30" s="966"/>
      <c r="BT30" s="966"/>
      <c r="BU30" s="965"/>
      <c r="BV30" s="966"/>
      <c r="BW30" s="973"/>
      <c r="BX30" s="966"/>
      <c r="BY30" s="973"/>
      <c r="BZ30" s="978"/>
      <c r="CA30" s="978"/>
      <c r="CB30" s="966"/>
      <c r="CC30" s="966"/>
      <c r="CD30" s="966"/>
      <c r="CE30" s="966"/>
      <c r="CF30" s="966"/>
      <c r="CG30" s="966"/>
      <c r="CH30" s="965"/>
      <c r="CI30" s="966"/>
      <c r="CJ30" s="973"/>
      <c r="CK30" s="966"/>
      <c r="CL30" s="973"/>
      <c r="CM30" s="978"/>
      <c r="CN30" s="978"/>
      <c r="CO30" s="966"/>
      <c r="CP30" s="966"/>
      <c r="CQ30" s="966"/>
      <c r="CR30" s="966"/>
      <c r="CS30" s="966"/>
      <c r="CT30" s="966"/>
      <c r="CU30" s="965"/>
      <c r="CV30" s="966"/>
      <c r="CW30" s="973"/>
      <c r="CX30" s="966"/>
      <c r="CY30" s="973"/>
      <c r="CZ30" s="978"/>
      <c r="DA30" s="978"/>
      <c r="DB30" s="966"/>
      <c r="DC30" s="966"/>
      <c r="DD30" s="966"/>
      <c r="DE30" s="966"/>
      <c r="DF30" s="966"/>
      <c r="DG30" s="966"/>
      <c r="DH30" s="965"/>
      <c r="DI30" s="966"/>
      <c r="DJ30" s="973"/>
      <c r="DK30" s="966"/>
      <c r="DL30" s="973"/>
      <c r="DM30" s="978"/>
      <c r="DN30" s="978"/>
      <c r="DO30" s="966"/>
      <c r="DP30" s="966"/>
      <c r="DQ30" s="966"/>
      <c r="DR30" s="966"/>
      <c r="DS30" s="966"/>
      <c r="DT30" s="966"/>
      <c r="DU30" s="965"/>
      <c r="DV30" s="966"/>
      <c r="DW30" s="973"/>
      <c r="DX30" s="966"/>
      <c r="DY30" s="973"/>
      <c r="DZ30" s="978"/>
      <c r="EA30" s="978"/>
      <c r="EB30" s="966"/>
      <c r="EC30" s="966"/>
      <c r="ED30" s="966"/>
      <c r="EE30" s="966"/>
      <c r="EF30" s="966"/>
      <c r="EG30" s="966"/>
      <c r="EH30" s="965"/>
      <c r="EI30" s="966"/>
      <c r="EJ30" s="973"/>
      <c r="EK30" s="966"/>
      <c r="EL30" s="973"/>
      <c r="EM30" s="978"/>
      <c r="EN30" s="978"/>
      <c r="EO30" s="966"/>
      <c r="EP30" s="966"/>
      <c r="EQ30" s="966"/>
      <c r="ER30" s="966"/>
      <c r="ES30" s="966"/>
      <c r="ET30" s="966"/>
      <c r="EU30" s="965"/>
      <c r="EV30" s="966"/>
      <c r="EW30" s="973"/>
      <c r="EX30" s="966"/>
      <c r="EY30" s="973"/>
      <c r="EZ30" s="978"/>
      <c r="FA30" s="978"/>
      <c r="FB30" s="966"/>
      <c r="FC30" s="966"/>
      <c r="FD30" s="966"/>
      <c r="FE30" s="966"/>
      <c r="FF30" s="966"/>
      <c r="FG30" s="966"/>
      <c r="FH30" s="965"/>
      <c r="FI30" s="966"/>
      <c r="FJ30" s="973"/>
      <c r="FK30" s="966"/>
      <c r="FL30" s="973"/>
      <c r="FM30" s="978"/>
      <c r="FN30" s="978"/>
      <c r="FO30" s="966"/>
      <c r="FP30" s="966"/>
      <c r="FQ30" s="966"/>
      <c r="FR30" s="966"/>
      <c r="FS30" s="966"/>
      <c r="FT30" s="966"/>
      <c r="FU30" s="965"/>
      <c r="FV30" s="966"/>
      <c r="FW30" s="973"/>
      <c r="FX30" s="966"/>
      <c r="FY30" s="973"/>
      <c r="FZ30" s="978"/>
      <c r="GA30" s="978"/>
      <c r="GB30" s="966"/>
      <c r="GC30" s="966"/>
      <c r="GD30" s="966"/>
      <c r="GE30" s="966"/>
      <c r="GF30" s="966"/>
      <c r="GG30" s="966"/>
      <c r="GH30" s="965"/>
      <c r="GI30" s="966"/>
      <c r="GJ30" s="973"/>
      <c r="GK30" s="966"/>
      <c r="GL30" s="973"/>
      <c r="GM30" s="978"/>
      <c r="GN30" s="978"/>
      <c r="GO30" s="966"/>
      <c r="GP30" s="966"/>
      <c r="GQ30" s="966"/>
      <c r="GR30" s="966"/>
      <c r="GS30" s="966"/>
      <c r="GT30" s="966"/>
      <c r="GU30" s="965"/>
      <c r="GV30" s="966"/>
      <c r="GW30" s="973"/>
      <c r="GX30" s="966"/>
      <c r="GY30" s="973"/>
      <c r="GZ30" s="978"/>
      <c r="HA30" s="978"/>
      <c r="HB30" s="966"/>
      <c r="HC30" s="966"/>
      <c r="HD30" s="966"/>
      <c r="HE30" s="966"/>
      <c r="HF30" s="966"/>
      <c r="HG30" s="966"/>
      <c r="HH30" s="965"/>
      <c r="HI30" s="966"/>
      <c r="HJ30" s="973"/>
      <c r="HK30" s="966"/>
      <c r="HL30" s="973"/>
      <c r="HM30" s="978"/>
      <c r="HN30" s="978"/>
      <c r="HO30" s="966"/>
      <c r="HP30" s="966"/>
      <c r="HQ30" s="966"/>
      <c r="HR30" s="966"/>
      <c r="HS30" s="966"/>
      <c r="HT30" s="966"/>
      <c r="HU30" s="965"/>
      <c r="HV30" s="966"/>
      <c r="HW30" s="973"/>
      <c r="HX30" s="966"/>
      <c r="HY30" s="973"/>
      <c r="HZ30" s="978"/>
      <c r="IA30" s="978"/>
      <c r="IB30" s="966"/>
      <c r="IC30" s="966"/>
      <c r="ID30" s="966"/>
      <c r="IE30" s="966"/>
      <c r="IF30" s="966"/>
      <c r="IG30" s="966"/>
      <c r="IH30" s="965"/>
      <c r="II30" s="966"/>
      <c r="IJ30" s="973"/>
      <c r="IK30" s="966"/>
      <c r="IL30" s="973"/>
      <c r="IM30" s="978"/>
      <c r="IN30" s="978"/>
      <c r="IO30" s="966"/>
      <c r="IP30" s="966"/>
      <c r="IQ30" s="966"/>
      <c r="IR30" s="966"/>
      <c r="IS30" s="966"/>
      <c r="IT30" s="966"/>
      <c r="IU30" s="965"/>
      <c r="IV30" s="966"/>
      <c r="IW30" s="973"/>
      <c r="IX30" s="966"/>
      <c r="IY30" s="973"/>
      <c r="IZ30" s="978"/>
      <c r="JA30" s="978"/>
      <c r="JB30" s="966"/>
      <c r="JC30" s="966"/>
      <c r="JD30" s="966"/>
      <c r="JE30" s="966"/>
      <c r="JF30" s="966"/>
      <c r="JG30" s="966"/>
      <c r="JH30" s="965"/>
      <c r="JI30" s="966"/>
      <c r="JJ30" s="973"/>
      <c r="JK30" s="966"/>
      <c r="JL30" s="973"/>
      <c r="JM30" s="978"/>
      <c r="JN30" s="978"/>
      <c r="JO30" s="966"/>
      <c r="JP30" s="966"/>
      <c r="JQ30" s="966"/>
      <c r="JR30" s="966"/>
      <c r="JS30" s="966"/>
      <c r="JT30" s="966"/>
      <c r="JU30" s="965"/>
      <c r="JV30" s="966"/>
      <c r="JW30" s="973"/>
      <c r="JX30" s="966"/>
      <c r="JY30" s="973"/>
      <c r="JZ30" s="978"/>
      <c r="KA30" s="978"/>
      <c r="KB30" s="966"/>
      <c r="KC30" s="966"/>
      <c r="KD30" s="966"/>
      <c r="KE30" s="966"/>
      <c r="KF30" s="966"/>
      <c r="KG30" s="966"/>
      <c r="KH30" s="965"/>
      <c r="KI30" s="966"/>
      <c r="KJ30" s="973"/>
      <c r="KK30" s="966"/>
      <c r="KL30" s="973"/>
      <c r="KM30" s="978"/>
      <c r="KN30" s="978"/>
      <c r="KO30" s="966"/>
      <c r="KP30" s="966"/>
      <c r="KQ30" s="966"/>
      <c r="KR30" s="966"/>
      <c r="KS30" s="966"/>
      <c r="KT30" s="966"/>
      <c r="KU30" s="965"/>
      <c r="KV30" s="966"/>
      <c r="KW30" s="973"/>
      <c r="KX30" s="966"/>
      <c r="KY30" s="973"/>
      <c r="KZ30" s="978"/>
      <c r="LA30" s="978"/>
      <c r="LB30" s="966"/>
      <c r="LC30" s="966"/>
      <c r="LD30" s="966"/>
      <c r="LE30" s="966"/>
      <c r="LF30" s="966"/>
      <c r="LG30" s="966"/>
      <c r="LH30" s="965"/>
      <c r="LI30" s="966"/>
      <c r="LJ30" s="973"/>
      <c r="LK30" s="966"/>
      <c r="LL30" s="973"/>
      <c r="LM30" s="978"/>
      <c r="LN30" s="978"/>
      <c r="LO30" s="966"/>
      <c r="LP30" s="966"/>
      <c r="LQ30" s="966"/>
      <c r="LR30" s="966"/>
      <c r="LS30" s="966"/>
      <c r="LT30" s="966"/>
      <c r="LU30" s="965"/>
      <c r="LV30" s="966"/>
      <c r="LW30" s="973"/>
      <c r="LX30" s="966"/>
      <c r="LY30" s="973"/>
      <c r="LZ30" s="978"/>
      <c r="MA30" s="978"/>
      <c r="MB30" s="966"/>
      <c r="MC30" s="966"/>
      <c r="MD30" s="966"/>
      <c r="ME30" s="966"/>
      <c r="MF30" s="966"/>
      <c r="MG30" s="966"/>
    </row>
    <row r="31" spans="2:345">
      <c r="B31" s="196">
        <f>INDEX(Groups!$C$7:$C$65,MATCH(C31,Groups!$D$7:$D$65,0))</f>
        <v>22</v>
      </c>
      <c r="C31" s="197" t="str">
        <f>CalcD!$P$26</f>
        <v>Turkije</v>
      </c>
      <c r="D31" s="198">
        <f>INDEX(Groups!$C$7:$C$65,MATCH(E31,Groups!$D$7:$D$65,0))</f>
        <v>16</v>
      </c>
      <c r="E31" s="197" t="str">
        <f>CalcD!$Q$26</f>
        <v>USA</v>
      </c>
      <c r="F31" s="199" t="str">
        <f>CalcD!$R$26</f>
        <v/>
      </c>
      <c r="G31" s="200" t="str">
        <f>CalcD!$S$26</f>
        <v/>
      </c>
      <c r="I31" s="196">
        <f t="shared" si="0"/>
        <v>22</v>
      </c>
      <c r="J31" s="197" t="str">
        <f t="shared" si="14"/>
        <v>Turkije</v>
      </c>
      <c r="K31" s="198">
        <f t="shared" si="1"/>
        <v>16</v>
      </c>
      <c r="L31" s="197" t="str">
        <f t="shared" si="15"/>
        <v>USA</v>
      </c>
      <c r="M31" s="232"/>
      <c r="N31" s="232"/>
      <c r="O31" s="228"/>
      <c r="P31" s="198" t="str">
        <f t="shared" si="16"/>
        <v/>
      </c>
      <c r="Q31" s="198" t="str">
        <f>IF((P31&lt;&gt;""),IF(OR($F31&lt;&gt;$G31,PrSettings!$M$4="●"),(($F31-$G31)=(M31-N31))*1,0),"")</f>
        <v/>
      </c>
      <c r="R31" s="198" t="str">
        <f t="shared" si="17"/>
        <v/>
      </c>
      <c r="S31" s="198" t="str">
        <f>IF(P31&lt;&gt;"",IF(ABS($F31-$G31)&gt;=PrSettings!$M$7,(ABS($F31-$G31-M31+N31)&lt;=1)*1,IF(AND(P31,$F31=$G31,$F31&gt;=PrSettings!$M$6),(ABS(M31-$F31)&lt;=1)*1,IF(AND(P31,$F31+$G31&gt;=PrSettings!$M$8),(ABS(M31-$F31)+ABS(N31-$G31)&lt;=1)*1,""))),"")</f>
        <v/>
      </c>
      <c r="T31" s="989"/>
      <c r="U31" s="965"/>
      <c r="V31" s="966"/>
      <c r="W31" s="973"/>
      <c r="X31" s="966"/>
      <c r="Y31" s="973"/>
      <c r="Z31" s="978"/>
      <c r="AA31" s="978"/>
      <c r="AB31" s="966"/>
      <c r="AC31" s="966"/>
      <c r="AD31" s="966"/>
      <c r="AE31" s="966"/>
      <c r="AF31" s="966"/>
      <c r="AG31" s="966"/>
      <c r="AH31" s="965"/>
      <c r="AI31" s="966"/>
      <c r="AJ31" s="973"/>
      <c r="AK31" s="966"/>
      <c r="AL31" s="973"/>
      <c r="AM31" s="978"/>
      <c r="AN31" s="978"/>
      <c r="AO31" s="966"/>
      <c r="AP31" s="966"/>
      <c r="AQ31" s="966"/>
      <c r="AR31" s="966"/>
      <c r="AS31" s="966"/>
      <c r="AT31" s="966"/>
      <c r="AU31" s="965"/>
      <c r="AV31" s="966"/>
      <c r="AW31" s="973"/>
      <c r="AX31" s="966"/>
      <c r="AY31" s="973"/>
      <c r="AZ31" s="978"/>
      <c r="BA31" s="978"/>
      <c r="BB31" s="966"/>
      <c r="BC31" s="966"/>
      <c r="BD31" s="966"/>
      <c r="BE31" s="966"/>
      <c r="BF31" s="966"/>
      <c r="BG31" s="966"/>
      <c r="BH31" s="965"/>
      <c r="BI31" s="966"/>
      <c r="BJ31" s="973"/>
      <c r="BK31" s="966"/>
      <c r="BL31" s="973"/>
      <c r="BM31" s="978"/>
      <c r="BN31" s="978"/>
      <c r="BO31" s="966"/>
      <c r="BP31" s="966"/>
      <c r="BQ31" s="966"/>
      <c r="BR31" s="966"/>
      <c r="BS31" s="966"/>
      <c r="BT31" s="966"/>
      <c r="BU31" s="965"/>
      <c r="BV31" s="966"/>
      <c r="BW31" s="973"/>
      <c r="BX31" s="966"/>
      <c r="BY31" s="973"/>
      <c r="BZ31" s="978"/>
      <c r="CA31" s="978"/>
      <c r="CB31" s="966"/>
      <c r="CC31" s="966"/>
      <c r="CD31" s="966"/>
      <c r="CE31" s="966"/>
      <c r="CF31" s="966"/>
      <c r="CG31" s="966"/>
      <c r="CH31" s="965"/>
      <c r="CI31" s="966"/>
      <c r="CJ31" s="973"/>
      <c r="CK31" s="966"/>
      <c r="CL31" s="973"/>
      <c r="CM31" s="978"/>
      <c r="CN31" s="978"/>
      <c r="CO31" s="966"/>
      <c r="CP31" s="966"/>
      <c r="CQ31" s="966"/>
      <c r="CR31" s="966"/>
      <c r="CS31" s="966"/>
      <c r="CT31" s="966"/>
      <c r="CU31" s="965"/>
      <c r="CV31" s="966"/>
      <c r="CW31" s="973"/>
      <c r="CX31" s="966"/>
      <c r="CY31" s="973"/>
      <c r="CZ31" s="978"/>
      <c r="DA31" s="978"/>
      <c r="DB31" s="966"/>
      <c r="DC31" s="966"/>
      <c r="DD31" s="966"/>
      <c r="DE31" s="966"/>
      <c r="DF31" s="966"/>
      <c r="DG31" s="966"/>
      <c r="DH31" s="965"/>
      <c r="DI31" s="966"/>
      <c r="DJ31" s="973"/>
      <c r="DK31" s="966"/>
      <c r="DL31" s="973"/>
      <c r="DM31" s="978"/>
      <c r="DN31" s="978"/>
      <c r="DO31" s="966"/>
      <c r="DP31" s="966"/>
      <c r="DQ31" s="966"/>
      <c r="DR31" s="966"/>
      <c r="DS31" s="966"/>
      <c r="DT31" s="966"/>
      <c r="DU31" s="965"/>
      <c r="DV31" s="966"/>
      <c r="DW31" s="973"/>
      <c r="DX31" s="966"/>
      <c r="DY31" s="973"/>
      <c r="DZ31" s="978"/>
      <c r="EA31" s="978"/>
      <c r="EB31" s="966"/>
      <c r="EC31" s="966"/>
      <c r="ED31" s="966"/>
      <c r="EE31" s="966"/>
      <c r="EF31" s="966"/>
      <c r="EG31" s="966"/>
      <c r="EH31" s="965"/>
      <c r="EI31" s="966"/>
      <c r="EJ31" s="973"/>
      <c r="EK31" s="966"/>
      <c r="EL31" s="973"/>
      <c r="EM31" s="978"/>
      <c r="EN31" s="978"/>
      <c r="EO31" s="966"/>
      <c r="EP31" s="966"/>
      <c r="EQ31" s="966"/>
      <c r="ER31" s="966"/>
      <c r="ES31" s="966"/>
      <c r="ET31" s="966"/>
      <c r="EU31" s="965"/>
      <c r="EV31" s="966"/>
      <c r="EW31" s="973"/>
      <c r="EX31" s="966"/>
      <c r="EY31" s="973"/>
      <c r="EZ31" s="978"/>
      <c r="FA31" s="978"/>
      <c r="FB31" s="966"/>
      <c r="FC31" s="966"/>
      <c r="FD31" s="966"/>
      <c r="FE31" s="966"/>
      <c r="FF31" s="966"/>
      <c r="FG31" s="966"/>
      <c r="FH31" s="965"/>
      <c r="FI31" s="966"/>
      <c r="FJ31" s="973"/>
      <c r="FK31" s="966"/>
      <c r="FL31" s="973"/>
      <c r="FM31" s="978"/>
      <c r="FN31" s="978"/>
      <c r="FO31" s="966"/>
      <c r="FP31" s="966"/>
      <c r="FQ31" s="966"/>
      <c r="FR31" s="966"/>
      <c r="FS31" s="966"/>
      <c r="FT31" s="966"/>
      <c r="FU31" s="965"/>
      <c r="FV31" s="966"/>
      <c r="FW31" s="973"/>
      <c r="FX31" s="966"/>
      <c r="FY31" s="973"/>
      <c r="FZ31" s="978"/>
      <c r="GA31" s="978"/>
      <c r="GB31" s="966"/>
      <c r="GC31" s="966"/>
      <c r="GD31" s="966"/>
      <c r="GE31" s="966"/>
      <c r="GF31" s="966"/>
      <c r="GG31" s="966"/>
      <c r="GH31" s="965"/>
      <c r="GI31" s="966"/>
      <c r="GJ31" s="973"/>
      <c r="GK31" s="966"/>
      <c r="GL31" s="973"/>
      <c r="GM31" s="978"/>
      <c r="GN31" s="978"/>
      <c r="GO31" s="966"/>
      <c r="GP31" s="966"/>
      <c r="GQ31" s="966"/>
      <c r="GR31" s="966"/>
      <c r="GS31" s="966"/>
      <c r="GT31" s="966"/>
      <c r="GU31" s="965"/>
      <c r="GV31" s="966"/>
      <c r="GW31" s="973"/>
      <c r="GX31" s="966"/>
      <c r="GY31" s="973"/>
      <c r="GZ31" s="978"/>
      <c r="HA31" s="978"/>
      <c r="HB31" s="966"/>
      <c r="HC31" s="966"/>
      <c r="HD31" s="966"/>
      <c r="HE31" s="966"/>
      <c r="HF31" s="966"/>
      <c r="HG31" s="966"/>
      <c r="HH31" s="965"/>
      <c r="HI31" s="966"/>
      <c r="HJ31" s="973"/>
      <c r="HK31" s="966"/>
      <c r="HL31" s="973"/>
      <c r="HM31" s="978"/>
      <c r="HN31" s="978"/>
      <c r="HO31" s="966"/>
      <c r="HP31" s="966"/>
      <c r="HQ31" s="966"/>
      <c r="HR31" s="966"/>
      <c r="HS31" s="966"/>
      <c r="HT31" s="966"/>
      <c r="HU31" s="965"/>
      <c r="HV31" s="966"/>
      <c r="HW31" s="973"/>
      <c r="HX31" s="966"/>
      <c r="HY31" s="973"/>
      <c r="HZ31" s="978"/>
      <c r="IA31" s="978"/>
      <c r="IB31" s="966"/>
      <c r="IC31" s="966"/>
      <c r="ID31" s="966"/>
      <c r="IE31" s="966"/>
      <c r="IF31" s="966"/>
      <c r="IG31" s="966"/>
      <c r="IH31" s="965"/>
      <c r="II31" s="966"/>
      <c r="IJ31" s="973"/>
      <c r="IK31" s="966"/>
      <c r="IL31" s="973"/>
      <c r="IM31" s="978"/>
      <c r="IN31" s="978"/>
      <c r="IO31" s="966"/>
      <c r="IP31" s="966"/>
      <c r="IQ31" s="966"/>
      <c r="IR31" s="966"/>
      <c r="IS31" s="966"/>
      <c r="IT31" s="966"/>
      <c r="IU31" s="965"/>
      <c r="IV31" s="966"/>
      <c r="IW31" s="973"/>
      <c r="IX31" s="966"/>
      <c r="IY31" s="973"/>
      <c r="IZ31" s="978"/>
      <c r="JA31" s="978"/>
      <c r="JB31" s="966"/>
      <c r="JC31" s="966"/>
      <c r="JD31" s="966"/>
      <c r="JE31" s="966"/>
      <c r="JF31" s="966"/>
      <c r="JG31" s="966"/>
      <c r="JH31" s="965"/>
      <c r="JI31" s="966"/>
      <c r="JJ31" s="973"/>
      <c r="JK31" s="966"/>
      <c r="JL31" s="973"/>
      <c r="JM31" s="978"/>
      <c r="JN31" s="978"/>
      <c r="JO31" s="966"/>
      <c r="JP31" s="966"/>
      <c r="JQ31" s="966"/>
      <c r="JR31" s="966"/>
      <c r="JS31" s="966"/>
      <c r="JT31" s="966"/>
      <c r="JU31" s="965"/>
      <c r="JV31" s="966"/>
      <c r="JW31" s="973"/>
      <c r="JX31" s="966"/>
      <c r="JY31" s="973"/>
      <c r="JZ31" s="978"/>
      <c r="KA31" s="978"/>
      <c r="KB31" s="966"/>
      <c r="KC31" s="966"/>
      <c r="KD31" s="966"/>
      <c r="KE31" s="966"/>
      <c r="KF31" s="966"/>
      <c r="KG31" s="966"/>
      <c r="KH31" s="965"/>
      <c r="KI31" s="966"/>
      <c r="KJ31" s="973"/>
      <c r="KK31" s="966"/>
      <c r="KL31" s="973"/>
      <c r="KM31" s="978"/>
      <c r="KN31" s="978"/>
      <c r="KO31" s="966"/>
      <c r="KP31" s="966"/>
      <c r="KQ31" s="966"/>
      <c r="KR31" s="966"/>
      <c r="KS31" s="966"/>
      <c r="KT31" s="966"/>
      <c r="KU31" s="965"/>
      <c r="KV31" s="966"/>
      <c r="KW31" s="973"/>
      <c r="KX31" s="966"/>
      <c r="KY31" s="973"/>
      <c r="KZ31" s="978"/>
      <c r="LA31" s="978"/>
      <c r="LB31" s="966"/>
      <c r="LC31" s="966"/>
      <c r="LD31" s="966"/>
      <c r="LE31" s="966"/>
      <c r="LF31" s="966"/>
      <c r="LG31" s="966"/>
      <c r="LH31" s="965"/>
      <c r="LI31" s="966"/>
      <c r="LJ31" s="973"/>
      <c r="LK31" s="966"/>
      <c r="LL31" s="973"/>
      <c r="LM31" s="978"/>
      <c r="LN31" s="978"/>
      <c r="LO31" s="966"/>
      <c r="LP31" s="966"/>
      <c r="LQ31" s="966"/>
      <c r="LR31" s="966"/>
      <c r="LS31" s="966"/>
      <c r="LT31" s="966"/>
      <c r="LU31" s="965"/>
      <c r="LV31" s="966"/>
      <c r="LW31" s="973"/>
      <c r="LX31" s="966"/>
      <c r="LY31" s="973"/>
      <c r="LZ31" s="978"/>
      <c r="MA31" s="978"/>
      <c r="MB31" s="966"/>
      <c r="MC31" s="966"/>
      <c r="MD31" s="966"/>
      <c r="ME31" s="966"/>
      <c r="MF31" s="966"/>
      <c r="MG31" s="966"/>
    </row>
    <row r="32" spans="2:345">
      <c r="B32" s="196">
        <f>INDEX(Groups!$C$7:$C$65,MATCH(C32,Groups!$D$7:$D$65,0))</f>
        <v>40</v>
      </c>
      <c r="C32" s="197" t="str">
        <f>CalcD!$P$27</f>
        <v>Paraguay</v>
      </c>
      <c r="D32" s="198">
        <f>INDEX(Groups!$C$7:$C$65,MATCH(E32,Groups!$D$7:$D$65,0))</f>
        <v>27</v>
      </c>
      <c r="E32" s="197" t="str">
        <f>CalcD!$Q$27</f>
        <v>Australië</v>
      </c>
      <c r="F32" s="199" t="str">
        <f>CalcD!$R$27</f>
        <v/>
      </c>
      <c r="G32" s="200" t="str">
        <f>CalcD!$S$27</f>
        <v/>
      </c>
      <c r="I32" s="196">
        <f t="shared" si="0"/>
        <v>40</v>
      </c>
      <c r="J32" s="197" t="str">
        <f t="shared" si="14"/>
        <v>Paraguay</v>
      </c>
      <c r="K32" s="198">
        <f t="shared" si="1"/>
        <v>27</v>
      </c>
      <c r="L32" s="197" t="str">
        <f t="shared" si="15"/>
        <v>Australië</v>
      </c>
      <c r="M32" s="232"/>
      <c r="N32" s="232"/>
      <c r="O32" s="473"/>
      <c r="P32" s="198" t="str">
        <f t="shared" si="16"/>
        <v/>
      </c>
      <c r="Q32" s="198" t="str">
        <f>IF((P32&lt;&gt;""),IF(OR($F32&lt;&gt;$G32,PrSettings!$M$4="●"),(($F32-$G32)=(M32-N32))*1,0),"")</f>
        <v/>
      </c>
      <c r="R32" s="198" t="str">
        <f t="shared" si="17"/>
        <v/>
      </c>
      <c r="S32" s="198" t="str">
        <f>IF(P32&lt;&gt;"",IF(ABS($F32-$G32)&gt;=PrSettings!$M$7,(ABS($F32-$G32-M32+N32)&lt;=1)*1,IF(AND(P32,$F32=$G32,$F32&gt;=PrSettings!$M$6),(ABS(M32-$F32)&lt;=1)*1,IF(AND(P32,$F32+$G32&gt;=PrSettings!$M$8),(ABS(M32-$F32)+ABS(N32-$G32)&lt;=1)*1,""))),"")</f>
        <v/>
      </c>
      <c r="T32" s="990"/>
      <c r="U32" s="965"/>
      <c r="V32" s="966"/>
      <c r="W32" s="973"/>
      <c r="X32" s="966"/>
      <c r="Y32" s="973"/>
      <c r="Z32" s="978"/>
      <c r="AA32" s="978"/>
      <c r="AB32" s="966"/>
      <c r="AC32" s="966"/>
      <c r="AD32" s="966"/>
      <c r="AE32" s="966"/>
      <c r="AF32" s="966"/>
      <c r="AG32" s="966"/>
      <c r="AH32" s="965"/>
      <c r="AI32" s="966"/>
      <c r="AJ32" s="973"/>
      <c r="AK32" s="966"/>
      <c r="AL32" s="973"/>
      <c r="AM32" s="978"/>
      <c r="AN32" s="978"/>
      <c r="AO32" s="966"/>
      <c r="AP32" s="966"/>
      <c r="AQ32" s="966"/>
      <c r="AR32" s="966"/>
      <c r="AS32" s="966"/>
      <c r="AT32" s="966"/>
      <c r="AU32" s="965"/>
      <c r="AV32" s="966"/>
      <c r="AW32" s="973"/>
      <c r="AX32" s="966"/>
      <c r="AY32" s="973"/>
      <c r="AZ32" s="978"/>
      <c r="BA32" s="978"/>
      <c r="BB32" s="966"/>
      <c r="BC32" s="966"/>
      <c r="BD32" s="966"/>
      <c r="BE32" s="966"/>
      <c r="BF32" s="966"/>
      <c r="BG32" s="966"/>
      <c r="BH32" s="965"/>
      <c r="BI32" s="966"/>
      <c r="BJ32" s="973"/>
      <c r="BK32" s="966"/>
      <c r="BL32" s="973"/>
      <c r="BM32" s="978"/>
      <c r="BN32" s="978"/>
      <c r="BO32" s="966"/>
      <c r="BP32" s="966"/>
      <c r="BQ32" s="966"/>
      <c r="BR32" s="966"/>
      <c r="BS32" s="966"/>
      <c r="BT32" s="966"/>
      <c r="BU32" s="965"/>
      <c r="BV32" s="966"/>
      <c r="BW32" s="973"/>
      <c r="BX32" s="966"/>
      <c r="BY32" s="973"/>
      <c r="BZ32" s="978"/>
      <c r="CA32" s="978"/>
      <c r="CB32" s="966"/>
      <c r="CC32" s="966"/>
      <c r="CD32" s="966"/>
      <c r="CE32" s="966"/>
      <c r="CF32" s="966"/>
      <c r="CG32" s="966"/>
      <c r="CH32" s="965"/>
      <c r="CI32" s="966"/>
      <c r="CJ32" s="973"/>
      <c r="CK32" s="966"/>
      <c r="CL32" s="973"/>
      <c r="CM32" s="978"/>
      <c r="CN32" s="978"/>
      <c r="CO32" s="966"/>
      <c r="CP32" s="966"/>
      <c r="CQ32" s="966"/>
      <c r="CR32" s="966"/>
      <c r="CS32" s="966"/>
      <c r="CT32" s="966"/>
      <c r="CU32" s="965"/>
      <c r="CV32" s="966"/>
      <c r="CW32" s="973"/>
      <c r="CX32" s="966"/>
      <c r="CY32" s="973"/>
      <c r="CZ32" s="978"/>
      <c r="DA32" s="978"/>
      <c r="DB32" s="966"/>
      <c r="DC32" s="966"/>
      <c r="DD32" s="966"/>
      <c r="DE32" s="966"/>
      <c r="DF32" s="966"/>
      <c r="DG32" s="966"/>
      <c r="DH32" s="965"/>
      <c r="DI32" s="966"/>
      <c r="DJ32" s="973"/>
      <c r="DK32" s="966"/>
      <c r="DL32" s="973"/>
      <c r="DM32" s="978"/>
      <c r="DN32" s="978"/>
      <c r="DO32" s="966"/>
      <c r="DP32" s="966"/>
      <c r="DQ32" s="966"/>
      <c r="DR32" s="966"/>
      <c r="DS32" s="966"/>
      <c r="DT32" s="966"/>
      <c r="DU32" s="965"/>
      <c r="DV32" s="966"/>
      <c r="DW32" s="973"/>
      <c r="DX32" s="966"/>
      <c r="DY32" s="973"/>
      <c r="DZ32" s="978"/>
      <c r="EA32" s="978"/>
      <c r="EB32" s="966"/>
      <c r="EC32" s="966"/>
      <c r="ED32" s="966"/>
      <c r="EE32" s="966"/>
      <c r="EF32" s="966"/>
      <c r="EG32" s="966"/>
      <c r="EH32" s="965"/>
      <c r="EI32" s="966"/>
      <c r="EJ32" s="973"/>
      <c r="EK32" s="966"/>
      <c r="EL32" s="973"/>
      <c r="EM32" s="978"/>
      <c r="EN32" s="978"/>
      <c r="EO32" s="966"/>
      <c r="EP32" s="966"/>
      <c r="EQ32" s="966"/>
      <c r="ER32" s="966"/>
      <c r="ES32" s="966"/>
      <c r="ET32" s="966"/>
      <c r="EU32" s="965"/>
      <c r="EV32" s="966"/>
      <c r="EW32" s="973"/>
      <c r="EX32" s="966"/>
      <c r="EY32" s="973"/>
      <c r="EZ32" s="978"/>
      <c r="FA32" s="978"/>
      <c r="FB32" s="966"/>
      <c r="FC32" s="966"/>
      <c r="FD32" s="966"/>
      <c r="FE32" s="966"/>
      <c r="FF32" s="966"/>
      <c r="FG32" s="966"/>
      <c r="FH32" s="965"/>
      <c r="FI32" s="966"/>
      <c r="FJ32" s="973"/>
      <c r="FK32" s="966"/>
      <c r="FL32" s="973"/>
      <c r="FM32" s="978"/>
      <c r="FN32" s="978"/>
      <c r="FO32" s="966"/>
      <c r="FP32" s="966"/>
      <c r="FQ32" s="966"/>
      <c r="FR32" s="966"/>
      <c r="FS32" s="966"/>
      <c r="FT32" s="966"/>
      <c r="FU32" s="965"/>
      <c r="FV32" s="966"/>
      <c r="FW32" s="973"/>
      <c r="FX32" s="966"/>
      <c r="FY32" s="973"/>
      <c r="FZ32" s="978"/>
      <c r="GA32" s="978"/>
      <c r="GB32" s="966"/>
      <c r="GC32" s="966"/>
      <c r="GD32" s="966"/>
      <c r="GE32" s="966"/>
      <c r="GF32" s="966"/>
      <c r="GG32" s="966"/>
      <c r="GH32" s="965"/>
      <c r="GI32" s="966"/>
      <c r="GJ32" s="973"/>
      <c r="GK32" s="966"/>
      <c r="GL32" s="973"/>
      <c r="GM32" s="978"/>
      <c r="GN32" s="978"/>
      <c r="GO32" s="966"/>
      <c r="GP32" s="966"/>
      <c r="GQ32" s="966"/>
      <c r="GR32" s="966"/>
      <c r="GS32" s="966"/>
      <c r="GT32" s="966"/>
      <c r="GU32" s="965"/>
      <c r="GV32" s="966"/>
      <c r="GW32" s="973"/>
      <c r="GX32" s="966"/>
      <c r="GY32" s="973"/>
      <c r="GZ32" s="978"/>
      <c r="HA32" s="978"/>
      <c r="HB32" s="966"/>
      <c r="HC32" s="966"/>
      <c r="HD32" s="966"/>
      <c r="HE32" s="966"/>
      <c r="HF32" s="966"/>
      <c r="HG32" s="966"/>
      <c r="HH32" s="965"/>
      <c r="HI32" s="966"/>
      <c r="HJ32" s="973"/>
      <c r="HK32" s="966"/>
      <c r="HL32" s="973"/>
      <c r="HM32" s="978"/>
      <c r="HN32" s="978"/>
      <c r="HO32" s="966"/>
      <c r="HP32" s="966"/>
      <c r="HQ32" s="966"/>
      <c r="HR32" s="966"/>
      <c r="HS32" s="966"/>
      <c r="HT32" s="966"/>
      <c r="HU32" s="965"/>
      <c r="HV32" s="966"/>
      <c r="HW32" s="973"/>
      <c r="HX32" s="966"/>
      <c r="HY32" s="973"/>
      <c r="HZ32" s="978"/>
      <c r="IA32" s="978"/>
      <c r="IB32" s="966"/>
      <c r="IC32" s="966"/>
      <c r="ID32" s="966"/>
      <c r="IE32" s="966"/>
      <c r="IF32" s="966"/>
      <c r="IG32" s="966"/>
      <c r="IH32" s="965"/>
      <c r="II32" s="966"/>
      <c r="IJ32" s="973"/>
      <c r="IK32" s="966"/>
      <c r="IL32" s="973"/>
      <c r="IM32" s="978"/>
      <c r="IN32" s="978"/>
      <c r="IO32" s="966"/>
      <c r="IP32" s="966"/>
      <c r="IQ32" s="966"/>
      <c r="IR32" s="966"/>
      <c r="IS32" s="966"/>
      <c r="IT32" s="966"/>
      <c r="IU32" s="965"/>
      <c r="IV32" s="966"/>
      <c r="IW32" s="973"/>
      <c r="IX32" s="966"/>
      <c r="IY32" s="973"/>
      <c r="IZ32" s="978"/>
      <c r="JA32" s="978"/>
      <c r="JB32" s="966"/>
      <c r="JC32" s="966"/>
      <c r="JD32" s="966"/>
      <c r="JE32" s="966"/>
      <c r="JF32" s="966"/>
      <c r="JG32" s="966"/>
      <c r="JH32" s="965"/>
      <c r="JI32" s="966"/>
      <c r="JJ32" s="973"/>
      <c r="JK32" s="966"/>
      <c r="JL32" s="973"/>
      <c r="JM32" s="978"/>
      <c r="JN32" s="978"/>
      <c r="JO32" s="966"/>
      <c r="JP32" s="966"/>
      <c r="JQ32" s="966"/>
      <c r="JR32" s="966"/>
      <c r="JS32" s="966"/>
      <c r="JT32" s="966"/>
      <c r="JU32" s="965"/>
      <c r="JV32" s="966"/>
      <c r="JW32" s="973"/>
      <c r="JX32" s="966"/>
      <c r="JY32" s="973"/>
      <c r="JZ32" s="978"/>
      <c r="KA32" s="978"/>
      <c r="KB32" s="966"/>
      <c r="KC32" s="966"/>
      <c r="KD32" s="966"/>
      <c r="KE32" s="966"/>
      <c r="KF32" s="966"/>
      <c r="KG32" s="966"/>
      <c r="KH32" s="965"/>
      <c r="KI32" s="966"/>
      <c r="KJ32" s="973"/>
      <c r="KK32" s="966"/>
      <c r="KL32" s="973"/>
      <c r="KM32" s="978"/>
      <c r="KN32" s="978"/>
      <c r="KO32" s="966"/>
      <c r="KP32" s="966"/>
      <c r="KQ32" s="966"/>
      <c r="KR32" s="966"/>
      <c r="KS32" s="966"/>
      <c r="KT32" s="966"/>
      <c r="KU32" s="965"/>
      <c r="KV32" s="966"/>
      <c r="KW32" s="973"/>
      <c r="KX32" s="966"/>
      <c r="KY32" s="973"/>
      <c r="KZ32" s="978"/>
      <c r="LA32" s="978"/>
      <c r="LB32" s="966"/>
      <c r="LC32" s="966"/>
      <c r="LD32" s="966"/>
      <c r="LE32" s="966"/>
      <c r="LF32" s="966"/>
      <c r="LG32" s="966"/>
      <c r="LH32" s="965"/>
      <c r="LI32" s="966"/>
      <c r="LJ32" s="973"/>
      <c r="LK32" s="966"/>
      <c r="LL32" s="973"/>
      <c r="LM32" s="978"/>
      <c r="LN32" s="978"/>
      <c r="LO32" s="966"/>
      <c r="LP32" s="966"/>
      <c r="LQ32" s="966"/>
      <c r="LR32" s="966"/>
      <c r="LS32" s="966"/>
      <c r="LT32" s="966"/>
      <c r="LU32" s="965"/>
      <c r="LV32" s="966"/>
      <c r="LW32" s="973"/>
      <c r="LX32" s="966"/>
      <c r="LY32" s="973"/>
      <c r="LZ32" s="978"/>
      <c r="MA32" s="978"/>
      <c r="MB32" s="966"/>
      <c r="MC32" s="966"/>
      <c r="MD32" s="966"/>
      <c r="ME32" s="966"/>
      <c r="MF32" s="966"/>
      <c r="MG32" s="966"/>
    </row>
    <row r="33" spans="1:345" ht="24" customHeight="1">
      <c r="B33" s="205" t="str">
        <f>Language!$E$130&amp;" E"</f>
        <v>Groep E</v>
      </c>
      <c r="C33" s="206"/>
      <c r="D33" s="211"/>
      <c r="E33" s="208"/>
      <c r="F33" s="212"/>
      <c r="G33" s="213"/>
      <c r="I33" s="205" t="str">
        <f t="shared" si="0"/>
        <v>Groep E</v>
      </c>
      <c r="J33" s="211"/>
      <c r="K33" s="211"/>
      <c r="L33" s="208"/>
      <c r="M33" s="236"/>
      <c r="N33" s="237"/>
      <c r="O33" s="209"/>
      <c r="P33" s="220"/>
      <c r="Q33" s="220"/>
      <c r="R33" s="208"/>
      <c r="S33" s="208"/>
      <c r="T33" s="987"/>
      <c r="U33" s="965"/>
      <c r="V33" s="972"/>
      <c r="W33" s="966"/>
      <c r="X33" s="966"/>
      <c r="Y33" s="973"/>
      <c r="Z33" s="974"/>
      <c r="AA33" s="975"/>
      <c r="AB33" s="976"/>
      <c r="AC33" s="977"/>
      <c r="AD33" s="977"/>
      <c r="AE33" s="973"/>
      <c r="AF33" s="973"/>
      <c r="AG33" s="973"/>
      <c r="AH33" s="965"/>
      <c r="AI33" s="972"/>
      <c r="AJ33" s="966"/>
      <c r="AK33" s="966"/>
      <c r="AL33" s="973"/>
      <c r="AM33" s="974"/>
      <c r="AN33" s="975"/>
      <c r="AO33" s="976"/>
      <c r="AP33" s="977"/>
      <c r="AQ33" s="977"/>
      <c r="AR33" s="973"/>
      <c r="AS33" s="973"/>
      <c r="AT33" s="973"/>
      <c r="AU33" s="965"/>
      <c r="AV33" s="972"/>
      <c r="AW33" s="966"/>
      <c r="AX33" s="966"/>
      <c r="AY33" s="973"/>
      <c r="AZ33" s="974"/>
      <c r="BA33" s="975"/>
      <c r="BB33" s="976"/>
      <c r="BC33" s="977"/>
      <c r="BD33" s="977"/>
      <c r="BE33" s="973"/>
      <c r="BF33" s="973"/>
      <c r="BG33" s="973"/>
      <c r="BH33" s="965"/>
      <c r="BI33" s="972"/>
      <c r="BJ33" s="966"/>
      <c r="BK33" s="966"/>
      <c r="BL33" s="973"/>
      <c r="BM33" s="974"/>
      <c r="BN33" s="975"/>
      <c r="BO33" s="976"/>
      <c r="BP33" s="977"/>
      <c r="BQ33" s="977"/>
      <c r="BR33" s="973"/>
      <c r="BS33" s="973"/>
      <c r="BT33" s="973"/>
      <c r="BU33" s="965"/>
      <c r="BV33" s="972"/>
      <c r="BW33" s="966"/>
      <c r="BX33" s="966"/>
      <c r="BY33" s="973"/>
      <c r="BZ33" s="974"/>
      <c r="CA33" s="975"/>
      <c r="CB33" s="976"/>
      <c r="CC33" s="977"/>
      <c r="CD33" s="977"/>
      <c r="CE33" s="973"/>
      <c r="CF33" s="973"/>
      <c r="CG33" s="973"/>
      <c r="CH33" s="965"/>
      <c r="CI33" s="972"/>
      <c r="CJ33" s="966"/>
      <c r="CK33" s="966"/>
      <c r="CL33" s="973"/>
      <c r="CM33" s="974"/>
      <c r="CN33" s="975"/>
      <c r="CO33" s="976"/>
      <c r="CP33" s="977"/>
      <c r="CQ33" s="977"/>
      <c r="CR33" s="973"/>
      <c r="CS33" s="973"/>
      <c r="CT33" s="973"/>
      <c r="CU33" s="965"/>
      <c r="CV33" s="972"/>
      <c r="CW33" s="966"/>
      <c r="CX33" s="966"/>
      <c r="CY33" s="973"/>
      <c r="CZ33" s="974"/>
      <c r="DA33" s="975"/>
      <c r="DB33" s="976"/>
      <c r="DC33" s="977"/>
      <c r="DD33" s="977"/>
      <c r="DE33" s="973"/>
      <c r="DF33" s="973"/>
      <c r="DG33" s="973"/>
      <c r="DH33" s="965"/>
      <c r="DI33" s="972"/>
      <c r="DJ33" s="966"/>
      <c r="DK33" s="966"/>
      <c r="DL33" s="973"/>
      <c r="DM33" s="974"/>
      <c r="DN33" s="975"/>
      <c r="DO33" s="976"/>
      <c r="DP33" s="977"/>
      <c r="DQ33" s="977"/>
      <c r="DR33" s="973"/>
      <c r="DS33" s="973"/>
      <c r="DT33" s="973"/>
      <c r="DU33" s="965"/>
      <c r="DV33" s="972"/>
      <c r="DW33" s="966"/>
      <c r="DX33" s="966"/>
      <c r="DY33" s="973"/>
      <c r="DZ33" s="974"/>
      <c r="EA33" s="975"/>
      <c r="EB33" s="976"/>
      <c r="EC33" s="977"/>
      <c r="ED33" s="977"/>
      <c r="EE33" s="973"/>
      <c r="EF33" s="973"/>
      <c r="EG33" s="973"/>
      <c r="EH33" s="965"/>
      <c r="EI33" s="972"/>
      <c r="EJ33" s="966"/>
      <c r="EK33" s="966"/>
      <c r="EL33" s="973"/>
      <c r="EM33" s="974"/>
      <c r="EN33" s="975"/>
      <c r="EO33" s="976"/>
      <c r="EP33" s="977"/>
      <c r="EQ33" s="977"/>
      <c r="ER33" s="973"/>
      <c r="ES33" s="973"/>
      <c r="ET33" s="973"/>
      <c r="EU33" s="965"/>
      <c r="EV33" s="972"/>
      <c r="EW33" s="966"/>
      <c r="EX33" s="966"/>
      <c r="EY33" s="973"/>
      <c r="EZ33" s="974"/>
      <c r="FA33" s="975"/>
      <c r="FB33" s="976"/>
      <c r="FC33" s="977"/>
      <c r="FD33" s="977"/>
      <c r="FE33" s="973"/>
      <c r="FF33" s="973"/>
      <c r="FG33" s="973"/>
      <c r="FH33" s="965"/>
      <c r="FI33" s="972"/>
      <c r="FJ33" s="966"/>
      <c r="FK33" s="966"/>
      <c r="FL33" s="973"/>
      <c r="FM33" s="974"/>
      <c r="FN33" s="975"/>
      <c r="FO33" s="976"/>
      <c r="FP33" s="977"/>
      <c r="FQ33" s="977"/>
      <c r="FR33" s="973"/>
      <c r="FS33" s="973"/>
      <c r="FT33" s="973"/>
      <c r="FU33" s="965"/>
      <c r="FV33" s="972"/>
      <c r="FW33" s="966"/>
      <c r="FX33" s="966"/>
      <c r="FY33" s="973"/>
      <c r="FZ33" s="974"/>
      <c r="GA33" s="975"/>
      <c r="GB33" s="976"/>
      <c r="GC33" s="977"/>
      <c r="GD33" s="977"/>
      <c r="GE33" s="973"/>
      <c r="GF33" s="973"/>
      <c r="GG33" s="973"/>
      <c r="GH33" s="965"/>
      <c r="GI33" s="972"/>
      <c r="GJ33" s="966"/>
      <c r="GK33" s="966"/>
      <c r="GL33" s="973"/>
      <c r="GM33" s="974"/>
      <c r="GN33" s="975"/>
      <c r="GO33" s="976"/>
      <c r="GP33" s="977"/>
      <c r="GQ33" s="977"/>
      <c r="GR33" s="973"/>
      <c r="GS33" s="973"/>
      <c r="GT33" s="973"/>
      <c r="GU33" s="965"/>
      <c r="GV33" s="972"/>
      <c r="GW33" s="966"/>
      <c r="GX33" s="966"/>
      <c r="GY33" s="973"/>
      <c r="GZ33" s="974"/>
      <c r="HA33" s="975"/>
      <c r="HB33" s="976"/>
      <c r="HC33" s="977"/>
      <c r="HD33" s="977"/>
      <c r="HE33" s="973"/>
      <c r="HF33" s="973"/>
      <c r="HG33" s="973"/>
      <c r="HH33" s="965"/>
      <c r="HI33" s="972"/>
      <c r="HJ33" s="966"/>
      <c r="HK33" s="966"/>
      <c r="HL33" s="973"/>
      <c r="HM33" s="974"/>
      <c r="HN33" s="975"/>
      <c r="HO33" s="976"/>
      <c r="HP33" s="977"/>
      <c r="HQ33" s="977"/>
      <c r="HR33" s="973"/>
      <c r="HS33" s="973"/>
      <c r="HT33" s="973"/>
      <c r="HU33" s="965"/>
      <c r="HV33" s="972"/>
      <c r="HW33" s="966"/>
      <c r="HX33" s="966"/>
      <c r="HY33" s="973"/>
      <c r="HZ33" s="974"/>
      <c r="IA33" s="975"/>
      <c r="IB33" s="976"/>
      <c r="IC33" s="977"/>
      <c r="ID33" s="977"/>
      <c r="IE33" s="973"/>
      <c r="IF33" s="973"/>
      <c r="IG33" s="973"/>
      <c r="IH33" s="965"/>
      <c r="II33" s="972"/>
      <c r="IJ33" s="966"/>
      <c r="IK33" s="966"/>
      <c r="IL33" s="973"/>
      <c r="IM33" s="974"/>
      <c r="IN33" s="975"/>
      <c r="IO33" s="976"/>
      <c r="IP33" s="977"/>
      <c r="IQ33" s="977"/>
      <c r="IR33" s="973"/>
      <c r="IS33" s="973"/>
      <c r="IT33" s="973"/>
      <c r="IU33" s="965"/>
      <c r="IV33" s="972"/>
      <c r="IW33" s="966"/>
      <c r="IX33" s="966"/>
      <c r="IY33" s="973"/>
      <c r="IZ33" s="974"/>
      <c r="JA33" s="975"/>
      <c r="JB33" s="976"/>
      <c r="JC33" s="977"/>
      <c r="JD33" s="977"/>
      <c r="JE33" s="973"/>
      <c r="JF33" s="973"/>
      <c r="JG33" s="973"/>
      <c r="JH33" s="965"/>
      <c r="JI33" s="972"/>
      <c r="JJ33" s="966"/>
      <c r="JK33" s="966"/>
      <c r="JL33" s="973"/>
      <c r="JM33" s="974"/>
      <c r="JN33" s="975"/>
      <c r="JO33" s="976"/>
      <c r="JP33" s="977"/>
      <c r="JQ33" s="977"/>
      <c r="JR33" s="973"/>
      <c r="JS33" s="973"/>
      <c r="JT33" s="973"/>
      <c r="JU33" s="965"/>
      <c r="JV33" s="972"/>
      <c r="JW33" s="966"/>
      <c r="JX33" s="966"/>
      <c r="JY33" s="973"/>
      <c r="JZ33" s="974"/>
      <c r="KA33" s="975"/>
      <c r="KB33" s="976"/>
      <c r="KC33" s="977"/>
      <c r="KD33" s="977"/>
      <c r="KE33" s="973"/>
      <c r="KF33" s="973"/>
      <c r="KG33" s="973"/>
      <c r="KH33" s="965"/>
      <c r="KI33" s="972"/>
      <c r="KJ33" s="966"/>
      <c r="KK33" s="966"/>
      <c r="KL33" s="973"/>
      <c r="KM33" s="974"/>
      <c r="KN33" s="975"/>
      <c r="KO33" s="976"/>
      <c r="KP33" s="977"/>
      <c r="KQ33" s="977"/>
      <c r="KR33" s="973"/>
      <c r="KS33" s="973"/>
      <c r="KT33" s="973"/>
      <c r="KU33" s="965"/>
      <c r="KV33" s="972"/>
      <c r="KW33" s="966"/>
      <c r="KX33" s="966"/>
      <c r="KY33" s="973"/>
      <c r="KZ33" s="974"/>
      <c r="LA33" s="975"/>
      <c r="LB33" s="976"/>
      <c r="LC33" s="977"/>
      <c r="LD33" s="977"/>
      <c r="LE33" s="973"/>
      <c r="LF33" s="973"/>
      <c r="LG33" s="973"/>
      <c r="LH33" s="965"/>
      <c r="LI33" s="972"/>
      <c r="LJ33" s="966"/>
      <c r="LK33" s="966"/>
      <c r="LL33" s="973"/>
      <c r="LM33" s="974"/>
      <c r="LN33" s="975"/>
      <c r="LO33" s="976"/>
      <c r="LP33" s="977"/>
      <c r="LQ33" s="977"/>
      <c r="LR33" s="973"/>
      <c r="LS33" s="973"/>
      <c r="LT33" s="973"/>
      <c r="LU33" s="965"/>
      <c r="LV33" s="972"/>
      <c r="LW33" s="966"/>
      <c r="LX33" s="966"/>
      <c r="LY33" s="973"/>
      <c r="LZ33" s="974"/>
      <c r="MA33" s="975"/>
      <c r="MB33" s="976"/>
      <c r="MC33" s="977"/>
      <c r="MD33" s="977"/>
      <c r="ME33" s="973"/>
      <c r="MF33" s="973"/>
      <c r="MG33" s="973"/>
    </row>
    <row r="34" spans="1:345">
      <c r="B34" s="196">
        <f>INDEX(Groups!$C$7:$C$65,MATCH(C34,Groups!$D$7:$D$65,0))</f>
        <v>10</v>
      </c>
      <c r="C34" s="197" t="str">
        <f>CalcE!$P$22</f>
        <v>Duitsland</v>
      </c>
      <c r="D34" s="198">
        <f>INDEX(Groups!$C$7:$C$65,MATCH(E34,Groups!$D$7:$D$65,0))</f>
        <v>82</v>
      </c>
      <c r="E34" s="197" t="str">
        <f>CalcE!$Q$22</f>
        <v>Curacao</v>
      </c>
      <c r="F34" s="199" t="str">
        <f>CalcE!$R$22</f>
        <v/>
      </c>
      <c r="G34" s="200" t="str">
        <f>CalcE!$S$22</f>
        <v/>
      </c>
      <c r="I34" s="196">
        <f t="shared" ref="I34:I88" si="18">$B34</f>
        <v>10</v>
      </c>
      <c r="J34" s="197" t="str">
        <f t="shared" ref="J34:J39" si="19">$C34</f>
        <v>Duitsland</v>
      </c>
      <c r="K34" s="198">
        <f t="shared" si="1"/>
        <v>82</v>
      </c>
      <c r="L34" s="197" t="str">
        <f t="shared" ref="L34:L39" si="20">$E34</f>
        <v>Curacao</v>
      </c>
      <c r="M34" s="232"/>
      <c r="N34" s="232"/>
      <c r="O34" s="227"/>
      <c r="P34" s="198" t="str">
        <f t="shared" ref="P34:P39" si="21">IF(($F34&lt;&gt;"")*($G34&lt;&gt;"")*(M34&lt;&gt;"")*(N34&lt;&gt;""),($F34&gt;$G34)*(M34&gt;N34)+($F34=$G34)*(M34=N34)+($F34&lt;$G34)*(M34&lt;N34),"")</f>
        <v/>
      </c>
      <c r="Q34" s="198" t="str">
        <f>IF((P34&lt;&gt;""),IF(OR($F34&lt;&gt;$G34,PrSettings!$M$4="●"),(($F34-$G34)=(M34-N34))*1,0),"")</f>
        <v/>
      </c>
      <c r="R34" s="198" t="str">
        <f t="shared" ref="R34:R39" si="22">IF((P34&lt;&gt;""),($F34=M34)*($G34=N34),"")</f>
        <v/>
      </c>
      <c r="S34" s="198" t="str">
        <f>IF(P34&lt;&gt;"",IF(ABS($F34-$G34)&gt;=PrSettings!$M$7,(ABS($F34-$G34-M34+N34)&lt;=1)*1,IF(AND(P34,$F34=$G34,$F34&gt;=PrSettings!$M$6),(ABS(M34-$F34)&lt;=1)*1,IF(AND(P34,$F34+$G34&gt;=PrSettings!$M$8),(ABS(M34-$F34)+ABS(N34-$G34)&lt;=1)*1,""))),"")</f>
        <v/>
      </c>
      <c r="T34" s="988"/>
      <c r="U34" s="965"/>
      <c r="V34" s="966"/>
      <c r="W34" s="973"/>
      <c r="X34" s="966"/>
      <c r="Y34" s="973"/>
      <c r="Z34" s="978"/>
      <c r="AA34" s="978"/>
      <c r="AB34" s="966"/>
      <c r="AC34" s="966"/>
      <c r="AD34" s="966"/>
      <c r="AE34" s="966"/>
      <c r="AF34" s="966"/>
      <c r="AG34" s="966"/>
      <c r="AH34" s="965"/>
      <c r="AI34" s="966"/>
      <c r="AJ34" s="973"/>
      <c r="AK34" s="966"/>
      <c r="AL34" s="973"/>
      <c r="AM34" s="978"/>
      <c r="AN34" s="978"/>
      <c r="AO34" s="966"/>
      <c r="AP34" s="966"/>
      <c r="AQ34" s="966"/>
      <c r="AR34" s="966"/>
      <c r="AS34" s="966"/>
      <c r="AT34" s="966"/>
      <c r="AU34" s="965"/>
      <c r="AV34" s="966"/>
      <c r="AW34" s="973"/>
      <c r="AX34" s="966"/>
      <c r="AY34" s="973"/>
      <c r="AZ34" s="978"/>
      <c r="BA34" s="978"/>
      <c r="BB34" s="966"/>
      <c r="BC34" s="966"/>
      <c r="BD34" s="966"/>
      <c r="BE34" s="966"/>
      <c r="BF34" s="966"/>
      <c r="BG34" s="966"/>
      <c r="BH34" s="965"/>
      <c r="BI34" s="966"/>
      <c r="BJ34" s="973"/>
      <c r="BK34" s="966"/>
      <c r="BL34" s="973"/>
      <c r="BM34" s="978"/>
      <c r="BN34" s="978"/>
      <c r="BO34" s="966"/>
      <c r="BP34" s="966"/>
      <c r="BQ34" s="966"/>
      <c r="BR34" s="966"/>
      <c r="BS34" s="966"/>
      <c r="BT34" s="966"/>
      <c r="BU34" s="965"/>
      <c r="BV34" s="966"/>
      <c r="BW34" s="973"/>
      <c r="BX34" s="966"/>
      <c r="BY34" s="973"/>
      <c r="BZ34" s="978"/>
      <c r="CA34" s="978"/>
      <c r="CB34" s="966"/>
      <c r="CC34" s="966"/>
      <c r="CD34" s="966"/>
      <c r="CE34" s="966"/>
      <c r="CF34" s="966"/>
      <c r="CG34" s="966"/>
      <c r="CH34" s="965"/>
      <c r="CI34" s="966"/>
      <c r="CJ34" s="973"/>
      <c r="CK34" s="966"/>
      <c r="CL34" s="973"/>
      <c r="CM34" s="978"/>
      <c r="CN34" s="978"/>
      <c r="CO34" s="966"/>
      <c r="CP34" s="966"/>
      <c r="CQ34" s="966"/>
      <c r="CR34" s="966"/>
      <c r="CS34" s="966"/>
      <c r="CT34" s="966"/>
      <c r="CU34" s="965"/>
      <c r="CV34" s="966"/>
      <c r="CW34" s="973"/>
      <c r="CX34" s="966"/>
      <c r="CY34" s="973"/>
      <c r="CZ34" s="978"/>
      <c r="DA34" s="978"/>
      <c r="DB34" s="966"/>
      <c r="DC34" s="966"/>
      <c r="DD34" s="966"/>
      <c r="DE34" s="966"/>
      <c r="DF34" s="966"/>
      <c r="DG34" s="966"/>
      <c r="DH34" s="965"/>
      <c r="DI34" s="966"/>
      <c r="DJ34" s="973"/>
      <c r="DK34" s="966"/>
      <c r="DL34" s="973"/>
      <c r="DM34" s="978"/>
      <c r="DN34" s="978"/>
      <c r="DO34" s="966"/>
      <c r="DP34" s="966"/>
      <c r="DQ34" s="966"/>
      <c r="DR34" s="966"/>
      <c r="DS34" s="966"/>
      <c r="DT34" s="966"/>
      <c r="DU34" s="965"/>
      <c r="DV34" s="966"/>
      <c r="DW34" s="973"/>
      <c r="DX34" s="966"/>
      <c r="DY34" s="973"/>
      <c r="DZ34" s="978"/>
      <c r="EA34" s="978"/>
      <c r="EB34" s="966"/>
      <c r="EC34" s="966"/>
      <c r="ED34" s="966"/>
      <c r="EE34" s="966"/>
      <c r="EF34" s="966"/>
      <c r="EG34" s="966"/>
      <c r="EH34" s="965"/>
      <c r="EI34" s="966"/>
      <c r="EJ34" s="973"/>
      <c r="EK34" s="966"/>
      <c r="EL34" s="973"/>
      <c r="EM34" s="978"/>
      <c r="EN34" s="978"/>
      <c r="EO34" s="966"/>
      <c r="EP34" s="966"/>
      <c r="EQ34" s="966"/>
      <c r="ER34" s="966"/>
      <c r="ES34" s="966"/>
      <c r="ET34" s="966"/>
      <c r="EU34" s="965"/>
      <c r="EV34" s="966"/>
      <c r="EW34" s="973"/>
      <c r="EX34" s="966"/>
      <c r="EY34" s="973"/>
      <c r="EZ34" s="978"/>
      <c r="FA34" s="978"/>
      <c r="FB34" s="966"/>
      <c r="FC34" s="966"/>
      <c r="FD34" s="966"/>
      <c r="FE34" s="966"/>
      <c r="FF34" s="966"/>
      <c r="FG34" s="966"/>
      <c r="FH34" s="965"/>
      <c r="FI34" s="966"/>
      <c r="FJ34" s="973"/>
      <c r="FK34" s="966"/>
      <c r="FL34" s="973"/>
      <c r="FM34" s="978"/>
      <c r="FN34" s="978"/>
      <c r="FO34" s="966"/>
      <c r="FP34" s="966"/>
      <c r="FQ34" s="966"/>
      <c r="FR34" s="966"/>
      <c r="FS34" s="966"/>
      <c r="FT34" s="966"/>
      <c r="FU34" s="965"/>
      <c r="FV34" s="966"/>
      <c r="FW34" s="973"/>
      <c r="FX34" s="966"/>
      <c r="FY34" s="973"/>
      <c r="FZ34" s="978"/>
      <c r="GA34" s="978"/>
      <c r="GB34" s="966"/>
      <c r="GC34" s="966"/>
      <c r="GD34" s="966"/>
      <c r="GE34" s="966"/>
      <c r="GF34" s="966"/>
      <c r="GG34" s="966"/>
      <c r="GH34" s="965"/>
      <c r="GI34" s="966"/>
      <c r="GJ34" s="973"/>
      <c r="GK34" s="966"/>
      <c r="GL34" s="973"/>
      <c r="GM34" s="978"/>
      <c r="GN34" s="978"/>
      <c r="GO34" s="966"/>
      <c r="GP34" s="966"/>
      <c r="GQ34" s="966"/>
      <c r="GR34" s="966"/>
      <c r="GS34" s="966"/>
      <c r="GT34" s="966"/>
      <c r="GU34" s="965"/>
      <c r="GV34" s="966"/>
      <c r="GW34" s="973"/>
      <c r="GX34" s="966"/>
      <c r="GY34" s="973"/>
      <c r="GZ34" s="978"/>
      <c r="HA34" s="978"/>
      <c r="HB34" s="966"/>
      <c r="HC34" s="966"/>
      <c r="HD34" s="966"/>
      <c r="HE34" s="966"/>
      <c r="HF34" s="966"/>
      <c r="HG34" s="966"/>
      <c r="HH34" s="965"/>
      <c r="HI34" s="966"/>
      <c r="HJ34" s="973"/>
      <c r="HK34" s="966"/>
      <c r="HL34" s="973"/>
      <c r="HM34" s="978"/>
      <c r="HN34" s="978"/>
      <c r="HO34" s="966"/>
      <c r="HP34" s="966"/>
      <c r="HQ34" s="966"/>
      <c r="HR34" s="966"/>
      <c r="HS34" s="966"/>
      <c r="HT34" s="966"/>
      <c r="HU34" s="965"/>
      <c r="HV34" s="966"/>
      <c r="HW34" s="973"/>
      <c r="HX34" s="966"/>
      <c r="HY34" s="973"/>
      <c r="HZ34" s="978"/>
      <c r="IA34" s="978"/>
      <c r="IB34" s="966"/>
      <c r="IC34" s="966"/>
      <c r="ID34" s="966"/>
      <c r="IE34" s="966"/>
      <c r="IF34" s="966"/>
      <c r="IG34" s="966"/>
      <c r="IH34" s="965"/>
      <c r="II34" s="966"/>
      <c r="IJ34" s="973"/>
      <c r="IK34" s="966"/>
      <c r="IL34" s="973"/>
      <c r="IM34" s="978"/>
      <c r="IN34" s="978"/>
      <c r="IO34" s="966"/>
      <c r="IP34" s="966"/>
      <c r="IQ34" s="966"/>
      <c r="IR34" s="966"/>
      <c r="IS34" s="966"/>
      <c r="IT34" s="966"/>
      <c r="IU34" s="965"/>
      <c r="IV34" s="966"/>
      <c r="IW34" s="973"/>
      <c r="IX34" s="966"/>
      <c r="IY34" s="973"/>
      <c r="IZ34" s="978"/>
      <c r="JA34" s="978"/>
      <c r="JB34" s="966"/>
      <c r="JC34" s="966"/>
      <c r="JD34" s="966"/>
      <c r="JE34" s="966"/>
      <c r="JF34" s="966"/>
      <c r="JG34" s="966"/>
      <c r="JH34" s="965"/>
      <c r="JI34" s="966"/>
      <c r="JJ34" s="973"/>
      <c r="JK34" s="966"/>
      <c r="JL34" s="973"/>
      <c r="JM34" s="978"/>
      <c r="JN34" s="978"/>
      <c r="JO34" s="966"/>
      <c r="JP34" s="966"/>
      <c r="JQ34" s="966"/>
      <c r="JR34" s="966"/>
      <c r="JS34" s="966"/>
      <c r="JT34" s="966"/>
      <c r="JU34" s="965"/>
      <c r="JV34" s="966"/>
      <c r="JW34" s="973"/>
      <c r="JX34" s="966"/>
      <c r="JY34" s="973"/>
      <c r="JZ34" s="978"/>
      <c r="KA34" s="978"/>
      <c r="KB34" s="966"/>
      <c r="KC34" s="966"/>
      <c r="KD34" s="966"/>
      <c r="KE34" s="966"/>
      <c r="KF34" s="966"/>
      <c r="KG34" s="966"/>
      <c r="KH34" s="965"/>
      <c r="KI34" s="966"/>
      <c r="KJ34" s="973"/>
      <c r="KK34" s="966"/>
      <c r="KL34" s="973"/>
      <c r="KM34" s="978"/>
      <c r="KN34" s="978"/>
      <c r="KO34" s="966"/>
      <c r="KP34" s="966"/>
      <c r="KQ34" s="966"/>
      <c r="KR34" s="966"/>
      <c r="KS34" s="966"/>
      <c r="KT34" s="966"/>
      <c r="KU34" s="965"/>
      <c r="KV34" s="966"/>
      <c r="KW34" s="973"/>
      <c r="KX34" s="966"/>
      <c r="KY34" s="973"/>
      <c r="KZ34" s="978"/>
      <c r="LA34" s="978"/>
      <c r="LB34" s="966"/>
      <c r="LC34" s="966"/>
      <c r="LD34" s="966"/>
      <c r="LE34" s="966"/>
      <c r="LF34" s="966"/>
      <c r="LG34" s="966"/>
      <c r="LH34" s="965"/>
      <c r="LI34" s="966"/>
      <c r="LJ34" s="973"/>
      <c r="LK34" s="966"/>
      <c r="LL34" s="973"/>
      <c r="LM34" s="978"/>
      <c r="LN34" s="978"/>
      <c r="LO34" s="966"/>
      <c r="LP34" s="966"/>
      <c r="LQ34" s="966"/>
      <c r="LR34" s="966"/>
      <c r="LS34" s="966"/>
      <c r="LT34" s="966"/>
      <c r="LU34" s="965"/>
      <c r="LV34" s="966"/>
      <c r="LW34" s="973"/>
      <c r="LX34" s="966"/>
      <c r="LY34" s="973"/>
      <c r="LZ34" s="978"/>
      <c r="MA34" s="978"/>
      <c r="MB34" s="966"/>
      <c r="MC34" s="966"/>
      <c r="MD34" s="966"/>
      <c r="ME34" s="966"/>
      <c r="MF34" s="966"/>
      <c r="MG34" s="966"/>
    </row>
    <row r="35" spans="1:345">
      <c r="B35" s="196">
        <f>INDEX(Groups!$C$7:$C$65,MATCH(C35,Groups!$D$7:$D$65,0))</f>
        <v>34</v>
      </c>
      <c r="C35" s="197" t="str">
        <f>CalcE!$P$23</f>
        <v>Ivoorkust</v>
      </c>
      <c r="D35" s="198">
        <f>INDEX(Groups!$C$7:$C$65,MATCH(E35,Groups!$D$7:$D$65,0))</f>
        <v>23</v>
      </c>
      <c r="E35" s="197" t="str">
        <f>CalcE!$Q$23</f>
        <v>Ecuador</v>
      </c>
      <c r="F35" s="725" t="str">
        <f>CalcE!$R$23</f>
        <v/>
      </c>
      <c r="G35" s="200" t="str">
        <f>CalcE!$S$23</f>
        <v/>
      </c>
      <c r="I35" s="196">
        <f t="shared" si="18"/>
        <v>34</v>
      </c>
      <c r="J35" s="197" t="str">
        <f t="shared" si="19"/>
        <v>Ivoorkust</v>
      </c>
      <c r="K35" s="198">
        <f t="shared" si="1"/>
        <v>23</v>
      </c>
      <c r="L35" s="197" t="str">
        <f t="shared" si="20"/>
        <v>Ecuador</v>
      </c>
      <c r="M35" s="232"/>
      <c r="N35" s="232"/>
      <c r="O35" s="228"/>
      <c r="P35" s="198" t="str">
        <f t="shared" si="21"/>
        <v/>
      </c>
      <c r="Q35" s="198" t="str">
        <f>IF((P35&lt;&gt;""),IF(OR($F35&lt;&gt;$G35,PrSettings!$M$4="●"),(($F35-$G35)=(M35-N35))*1,0),"")</f>
        <v/>
      </c>
      <c r="R35" s="198" t="str">
        <f t="shared" si="22"/>
        <v/>
      </c>
      <c r="S35" s="198" t="str">
        <f>IF(P35&lt;&gt;"",IF(ABS($F35-$G35)&gt;=PrSettings!$M$7,(ABS($F35-$G35-M35+N35)&lt;=1)*1,IF(AND(P35,$F35=$G35,$F35&gt;=PrSettings!$M$6),(ABS(M35-$F35)&lt;=1)*1,IF(AND(P35,$F35+$G35&gt;=PrSettings!$M$8),(ABS(M35-$F35)+ABS(N35-$G35)&lt;=1)*1,""))),"")</f>
        <v/>
      </c>
      <c r="T35" s="989"/>
      <c r="U35" s="965"/>
      <c r="V35" s="966"/>
      <c r="W35" s="973"/>
      <c r="X35" s="966"/>
      <c r="Y35" s="973"/>
      <c r="Z35" s="978"/>
      <c r="AA35" s="978"/>
      <c r="AB35" s="966"/>
      <c r="AC35" s="966"/>
      <c r="AD35" s="966"/>
      <c r="AE35" s="966"/>
      <c r="AF35" s="966"/>
      <c r="AG35" s="966"/>
      <c r="AH35" s="965"/>
      <c r="AI35" s="966"/>
      <c r="AJ35" s="973"/>
      <c r="AK35" s="966"/>
      <c r="AL35" s="973"/>
      <c r="AM35" s="978"/>
      <c r="AN35" s="978"/>
      <c r="AO35" s="966"/>
      <c r="AP35" s="966"/>
      <c r="AQ35" s="966"/>
      <c r="AR35" s="966"/>
      <c r="AS35" s="966"/>
      <c r="AT35" s="966"/>
      <c r="AU35" s="965"/>
      <c r="AV35" s="966"/>
      <c r="AW35" s="973"/>
      <c r="AX35" s="966"/>
      <c r="AY35" s="973"/>
      <c r="AZ35" s="978"/>
      <c r="BA35" s="978"/>
      <c r="BB35" s="966"/>
      <c r="BC35" s="966"/>
      <c r="BD35" s="966"/>
      <c r="BE35" s="966"/>
      <c r="BF35" s="966"/>
      <c r="BG35" s="966"/>
      <c r="BH35" s="965"/>
      <c r="BI35" s="966"/>
      <c r="BJ35" s="973"/>
      <c r="BK35" s="966"/>
      <c r="BL35" s="973"/>
      <c r="BM35" s="978"/>
      <c r="BN35" s="978"/>
      <c r="BO35" s="966"/>
      <c r="BP35" s="966"/>
      <c r="BQ35" s="966"/>
      <c r="BR35" s="966"/>
      <c r="BS35" s="966"/>
      <c r="BT35" s="966"/>
      <c r="BU35" s="965"/>
      <c r="BV35" s="966"/>
      <c r="BW35" s="973"/>
      <c r="BX35" s="966"/>
      <c r="BY35" s="973"/>
      <c r="BZ35" s="978"/>
      <c r="CA35" s="978"/>
      <c r="CB35" s="966"/>
      <c r="CC35" s="966"/>
      <c r="CD35" s="966"/>
      <c r="CE35" s="966"/>
      <c r="CF35" s="966"/>
      <c r="CG35" s="966"/>
      <c r="CH35" s="965"/>
      <c r="CI35" s="966"/>
      <c r="CJ35" s="973"/>
      <c r="CK35" s="966"/>
      <c r="CL35" s="973"/>
      <c r="CM35" s="978"/>
      <c r="CN35" s="978"/>
      <c r="CO35" s="966"/>
      <c r="CP35" s="966"/>
      <c r="CQ35" s="966"/>
      <c r="CR35" s="966"/>
      <c r="CS35" s="966"/>
      <c r="CT35" s="966"/>
      <c r="CU35" s="965"/>
      <c r="CV35" s="966"/>
      <c r="CW35" s="973"/>
      <c r="CX35" s="966"/>
      <c r="CY35" s="973"/>
      <c r="CZ35" s="978"/>
      <c r="DA35" s="978"/>
      <c r="DB35" s="966"/>
      <c r="DC35" s="966"/>
      <c r="DD35" s="966"/>
      <c r="DE35" s="966"/>
      <c r="DF35" s="966"/>
      <c r="DG35" s="966"/>
      <c r="DH35" s="965"/>
      <c r="DI35" s="966"/>
      <c r="DJ35" s="973"/>
      <c r="DK35" s="966"/>
      <c r="DL35" s="973"/>
      <c r="DM35" s="978"/>
      <c r="DN35" s="978"/>
      <c r="DO35" s="966"/>
      <c r="DP35" s="966"/>
      <c r="DQ35" s="966"/>
      <c r="DR35" s="966"/>
      <c r="DS35" s="966"/>
      <c r="DT35" s="966"/>
      <c r="DU35" s="965"/>
      <c r="DV35" s="966"/>
      <c r="DW35" s="973"/>
      <c r="DX35" s="966"/>
      <c r="DY35" s="973"/>
      <c r="DZ35" s="978"/>
      <c r="EA35" s="978"/>
      <c r="EB35" s="966"/>
      <c r="EC35" s="966"/>
      <c r="ED35" s="966"/>
      <c r="EE35" s="966"/>
      <c r="EF35" s="966"/>
      <c r="EG35" s="966"/>
      <c r="EH35" s="965"/>
      <c r="EI35" s="966"/>
      <c r="EJ35" s="973"/>
      <c r="EK35" s="966"/>
      <c r="EL35" s="973"/>
      <c r="EM35" s="978"/>
      <c r="EN35" s="978"/>
      <c r="EO35" s="966"/>
      <c r="EP35" s="966"/>
      <c r="EQ35" s="966"/>
      <c r="ER35" s="966"/>
      <c r="ES35" s="966"/>
      <c r="ET35" s="966"/>
      <c r="EU35" s="965"/>
      <c r="EV35" s="966"/>
      <c r="EW35" s="973"/>
      <c r="EX35" s="966"/>
      <c r="EY35" s="973"/>
      <c r="EZ35" s="978"/>
      <c r="FA35" s="978"/>
      <c r="FB35" s="966"/>
      <c r="FC35" s="966"/>
      <c r="FD35" s="966"/>
      <c r="FE35" s="966"/>
      <c r="FF35" s="966"/>
      <c r="FG35" s="966"/>
      <c r="FH35" s="965"/>
      <c r="FI35" s="966"/>
      <c r="FJ35" s="973"/>
      <c r="FK35" s="966"/>
      <c r="FL35" s="973"/>
      <c r="FM35" s="978"/>
      <c r="FN35" s="978"/>
      <c r="FO35" s="966"/>
      <c r="FP35" s="966"/>
      <c r="FQ35" s="966"/>
      <c r="FR35" s="966"/>
      <c r="FS35" s="966"/>
      <c r="FT35" s="966"/>
      <c r="FU35" s="965"/>
      <c r="FV35" s="966"/>
      <c r="FW35" s="973"/>
      <c r="FX35" s="966"/>
      <c r="FY35" s="973"/>
      <c r="FZ35" s="978"/>
      <c r="GA35" s="978"/>
      <c r="GB35" s="966"/>
      <c r="GC35" s="966"/>
      <c r="GD35" s="966"/>
      <c r="GE35" s="966"/>
      <c r="GF35" s="966"/>
      <c r="GG35" s="966"/>
      <c r="GH35" s="965"/>
      <c r="GI35" s="966"/>
      <c r="GJ35" s="973"/>
      <c r="GK35" s="966"/>
      <c r="GL35" s="973"/>
      <c r="GM35" s="978"/>
      <c r="GN35" s="978"/>
      <c r="GO35" s="966"/>
      <c r="GP35" s="966"/>
      <c r="GQ35" s="966"/>
      <c r="GR35" s="966"/>
      <c r="GS35" s="966"/>
      <c r="GT35" s="966"/>
      <c r="GU35" s="965"/>
      <c r="GV35" s="966"/>
      <c r="GW35" s="973"/>
      <c r="GX35" s="966"/>
      <c r="GY35" s="973"/>
      <c r="GZ35" s="978"/>
      <c r="HA35" s="978"/>
      <c r="HB35" s="966"/>
      <c r="HC35" s="966"/>
      <c r="HD35" s="966"/>
      <c r="HE35" s="966"/>
      <c r="HF35" s="966"/>
      <c r="HG35" s="966"/>
      <c r="HH35" s="965"/>
      <c r="HI35" s="966"/>
      <c r="HJ35" s="973"/>
      <c r="HK35" s="966"/>
      <c r="HL35" s="973"/>
      <c r="HM35" s="978"/>
      <c r="HN35" s="978"/>
      <c r="HO35" s="966"/>
      <c r="HP35" s="966"/>
      <c r="HQ35" s="966"/>
      <c r="HR35" s="966"/>
      <c r="HS35" s="966"/>
      <c r="HT35" s="966"/>
      <c r="HU35" s="965"/>
      <c r="HV35" s="966"/>
      <c r="HW35" s="973"/>
      <c r="HX35" s="966"/>
      <c r="HY35" s="973"/>
      <c r="HZ35" s="978"/>
      <c r="IA35" s="978"/>
      <c r="IB35" s="966"/>
      <c r="IC35" s="966"/>
      <c r="ID35" s="966"/>
      <c r="IE35" s="966"/>
      <c r="IF35" s="966"/>
      <c r="IG35" s="966"/>
      <c r="IH35" s="965"/>
      <c r="II35" s="966"/>
      <c r="IJ35" s="973"/>
      <c r="IK35" s="966"/>
      <c r="IL35" s="973"/>
      <c r="IM35" s="978"/>
      <c r="IN35" s="978"/>
      <c r="IO35" s="966"/>
      <c r="IP35" s="966"/>
      <c r="IQ35" s="966"/>
      <c r="IR35" s="966"/>
      <c r="IS35" s="966"/>
      <c r="IT35" s="966"/>
      <c r="IU35" s="965"/>
      <c r="IV35" s="966"/>
      <c r="IW35" s="973"/>
      <c r="IX35" s="966"/>
      <c r="IY35" s="973"/>
      <c r="IZ35" s="978"/>
      <c r="JA35" s="978"/>
      <c r="JB35" s="966"/>
      <c r="JC35" s="966"/>
      <c r="JD35" s="966"/>
      <c r="JE35" s="966"/>
      <c r="JF35" s="966"/>
      <c r="JG35" s="966"/>
      <c r="JH35" s="965"/>
      <c r="JI35" s="966"/>
      <c r="JJ35" s="973"/>
      <c r="JK35" s="966"/>
      <c r="JL35" s="973"/>
      <c r="JM35" s="978"/>
      <c r="JN35" s="978"/>
      <c r="JO35" s="966"/>
      <c r="JP35" s="966"/>
      <c r="JQ35" s="966"/>
      <c r="JR35" s="966"/>
      <c r="JS35" s="966"/>
      <c r="JT35" s="966"/>
      <c r="JU35" s="965"/>
      <c r="JV35" s="966"/>
      <c r="JW35" s="973"/>
      <c r="JX35" s="966"/>
      <c r="JY35" s="973"/>
      <c r="JZ35" s="978"/>
      <c r="KA35" s="978"/>
      <c r="KB35" s="966"/>
      <c r="KC35" s="966"/>
      <c r="KD35" s="966"/>
      <c r="KE35" s="966"/>
      <c r="KF35" s="966"/>
      <c r="KG35" s="966"/>
      <c r="KH35" s="965"/>
      <c r="KI35" s="966"/>
      <c r="KJ35" s="973"/>
      <c r="KK35" s="966"/>
      <c r="KL35" s="973"/>
      <c r="KM35" s="978"/>
      <c r="KN35" s="978"/>
      <c r="KO35" s="966"/>
      <c r="KP35" s="966"/>
      <c r="KQ35" s="966"/>
      <c r="KR35" s="966"/>
      <c r="KS35" s="966"/>
      <c r="KT35" s="966"/>
      <c r="KU35" s="965"/>
      <c r="KV35" s="966"/>
      <c r="KW35" s="973"/>
      <c r="KX35" s="966"/>
      <c r="KY35" s="973"/>
      <c r="KZ35" s="978"/>
      <c r="LA35" s="978"/>
      <c r="LB35" s="966"/>
      <c r="LC35" s="966"/>
      <c r="LD35" s="966"/>
      <c r="LE35" s="966"/>
      <c r="LF35" s="966"/>
      <c r="LG35" s="966"/>
      <c r="LH35" s="965"/>
      <c r="LI35" s="966"/>
      <c r="LJ35" s="973"/>
      <c r="LK35" s="966"/>
      <c r="LL35" s="973"/>
      <c r="LM35" s="978"/>
      <c r="LN35" s="978"/>
      <c r="LO35" s="966"/>
      <c r="LP35" s="966"/>
      <c r="LQ35" s="966"/>
      <c r="LR35" s="966"/>
      <c r="LS35" s="966"/>
      <c r="LT35" s="966"/>
      <c r="LU35" s="965"/>
      <c r="LV35" s="966"/>
      <c r="LW35" s="973"/>
      <c r="LX35" s="966"/>
      <c r="LY35" s="973"/>
      <c r="LZ35" s="978"/>
      <c r="MA35" s="978"/>
      <c r="MB35" s="966"/>
      <c r="MC35" s="966"/>
      <c r="MD35" s="966"/>
      <c r="ME35" s="966"/>
      <c r="MF35" s="966"/>
      <c r="MG35" s="966"/>
    </row>
    <row r="36" spans="1:345">
      <c r="B36" s="196">
        <f>INDEX(Groups!$C$7:$C$65,MATCH(C36,Groups!$D$7:$D$65,0))</f>
        <v>10</v>
      </c>
      <c r="C36" s="197" t="str">
        <f>CalcE!$P$24</f>
        <v>Duitsland</v>
      </c>
      <c r="D36" s="198">
        <f>INDEX(Groups!$C$7:$C$65,MATCH(E36,Groups!$D$7:$D$65,0))</f>
        <v>34</v>
      </c>
      <c r="E36" s="197" t="str">
        <f>CalcE!$Q$24</f>
        <v>Ivoorkust</v>
      </c>
      <c r="F36" s="199" t="str">
        <f>CalcE!$R$24</f>
        <v/>
      </c>
      <c r="G36" s="200" t="str">
        <f>CalcE!$S$24</f>
        <v/>
      </c>
      <c r="I36" s="196">
        <f t="shared" si="18"/>
        <v>10</v>
      </c>
      <c r="J36" s="197" t="str">
        <f t="shared" si="19"/>
        <v>Duitsland</v>
      </c>
      <c r="K36" s="198">
        <f t="shared" si="1"/>
        <v>34</v>
      </c>
      <c r="L36" s="197" t="str">
        <f t="shared" si="20"/>
        <v>Ivoorkust</v>
      </c>
      <c r="M36" s="232"/>
      <c r="N36" s="232"/>
      <c r="O36" s="228"/>
      <c r="P36" s="198" t="str">
        <f t="shared" si="21"/>
        <v/>
      </c>
      <c r="Q36" s="198" t="str">
        <f>IF((P36&lt;&gt;""),IF(OR($F36&lt;&gt;$G36,PrSettings!$M$4="●"),(($F36-$G36)=(M36-N36))*1,0),"")</f>
        <v/>
      </c>
      <c r="R36" s="198" t="str">
        <f t="shared" si="22"/>
        <v/>
      </c>
      <c r="S36" s="198" t="str">
        <f>IF(P36&lt;&gt;"",IF(ABS($F36-$G36)&gt;=PrSettings!$M$7,(ABS($F36-$G36-M36+N36)&lt;=1)*1,IF(AND(P36,$F36=$G36,$F36&gt;=PrSettings!$M$6),(ABS(M36-$F36)&lt;=1)*1,IF(AND(P36,$F36+$G36&gt;=PrSettings!$M$8),(ABS(M36-$F36)+ABS(N36-$G36)&lt;=1)*1,""))),"")</f>
        <v/>
      </c>
      <c r="T36" s="989"/>
      <c r="U36" s="965"/>
      <c r="V36" s="966"/>
      <c r="W36" s="973"/>
      <c r="X36" s="966"/>
      <c r="Y36" s="973"/>
      <c r="Z36" s="978"/>
      <c r="AA36" s="978"/>
      <c r="AB36" s="966"/>
      <c r="AC36" s="966"/>
      <c r="AD36" s="966"/>
      <c r="AE36" s="966"/>
      <c r="AF36" s="966"/>
      <c r="AG36" s="966"/>
      <c r="AH36" s="965"/>
      <c r="AI36" s="966"/>
      <c r="AJ36" s="973"/>
      <c r="AK36" s="966"/>
      <c r="AL36" s="973"/>
      <c r="AM36" s="978"/>
      <c r="AN36" s="978"/>
      <c r="AO36" s="966"/>
      <c r="AP36" s="966"/>
      <c r="AQ36" s="966"/>
      <c r="AR36" s="966"/>
      <c r="AS36" s="966"/>
      <c r="AT36" s="966"/>
      <c r="AU36" s="965"/>
      <c r="AV36" s="966"/>
      <c r="AW36" s="973"/>
      <c r="AX36" s="966"/>
      <c r="AY36" s="973"/>
      <c r="AZ36" s="978"/>
      <c r="BA36" s="978"/>
      <c r="BB36" s="966"/>
      <c r="BC36" s="966"/>
      <c r="BD36" s="966"/>
      <c r="BE36" s="966"/>
      <c r="BF36" s="966"/>
      <c r="BG36" s="966"/>
      <c r="BH36" s="965"/>
      <c r="BI36" s="966"/>
      <c r="BJ36" s="973"/>
      <c r="BK36" s="966"/>
      <c r="BL36" s="973"/>
      <c r="BM36" s="978"/>
      <c r="BN36" s="978"/>
      <c r="BO36" s="966"/>
      <c r="BP36" s="966"/>
      <c r="BQ36" s="966"/>
      <c r="BR36" s="966"/>
      <c r="BS36" s="966"/>
      <c r="BT36" s="966"/>
      <c r="BU36" s="965"/>
      <c r="BV36" s="966"/>
      <c r="BW36" s="973"/>
      <c r="BX36" s="966"/>
      <c r="BY36" s="973"/>
      <c r="BZ36" s="978"/>
      <c r="CA36" s="978"/>
      <c r="CB36" s="966"/>
      <c r="CC36" s="966"/>
      <c r="CD36" s="966"/>
      <c r="CE36" s="966"/>
      <c r="CF36" s="966"/>
      <c r="CG36" s="966"/>
      <c r="CH36" s="965"/>
      <c r="CI36" s="966"/>
      <c r="CJ36" s="973"/>
      <c r="CK36" s="966"/>
      <c r="CL36" s="973"/>
      <c r="CM36" s="978"/>
      <c r="CN36" s="978"/>
      <c r="CO36" s="966"/>
      <c r="CP36" s="966"/>
      <c r="CQ36" s="966"/>
      <c r="CR36" s="966"/>
      <c r="CS36" s="966"/>
      <c r="CT36" s="966"/>
      <c r="CU36" s="965"/>
      <c r="CV36" s="966"/>
      <c r="CW36" s="973"/>
      <c r="CX36" s="966"/>
      <c r="CY36" s="973"/>
      <c r="CZ36" s="978"/>
      <c r="DA36" s="978"/>
      <c r="DB36" s="966"/>
      <c r="DC36" s="966"/>
      <c r="DD36" s="966"/>
      <c r="DE36" s="966"/>
      <c r="DF36" s="966"/>
      <c r="DG36" s="966"/>
      <c r="DH36" s="965"/>
      <c r="DI36" s="966"/>
      <c r="DJ36" s="973"/>
      <c r="DK36" s="966"/>
      <c r="DL36" s="973"/>
      <c r="DM36" s="978"/>
      <c r="DN36" s="978"/>
      <c r="DO36" s="966"/>
      <c r="DP36" s="966"/>
      <c r="DQ36" s="966"/>
      <c r="DR36" s="966"/>
      <c r="DS36" s="966"/>
      <c r="DT36" s="966"/>
      <c r="DU36" s="965"/>
      <c r="DV36" s="966"/>
      <c r="DW36" s="973"/>
      <c r="DX36" s="966"/>
      <c r="DY36" s="973"/>
      <c r="DZ36" s="978"/>
      <c r="EA36" s="978"/>
      <c r="EB36" s="966"/>
      <c r="EC36" s="966"/>
      <c r="ED36" s="966"/>
      <c r="EE36" s="966"/>
      <c r="EF36" s="966"/>
      <c r="EG36" s="966"/>
      <c r="EH36" s="965"/>
      <c r="EI36" s="966"/>
      <c r="EJ36" s="973"/>
      <c r="EK36" s="966"/>
      <c r="EL36" s="973"/>
      <c r="EM36" s="978"/>
      <c r="EN36" s="978"/>
      <c r="EO36" s="966"/>
      <c r="EP36" s="966"/>
      <c r="EQ36" s="966"/>
      <c r="ER36" s="966"/>
      <c r="ES36" s="966"/>
      <c r="ET36" s="966"/>
      <c r="EU36" s="965"/>
      <c r="EV36" s="966"/>
      <c r="EW36" s="973"/>
      <c r="EX36" s="966"/>
      <c r="EY36" s="973"/>
      <c r="EZ36" s="978"/>
      <c r="FA36" s="978"/>
      <c r="FB36" s="966"/>
      <c r="FC36" s="966"/>
      <c r="FD36" s="966"/>
      <c r="FE36" s="966"/>
      <c r="FF36" s="966"/>
      <c r="FG36" s="966"/>
      <c r="FH36" s="965"/>
      <c r="FI36" s="966"/>
      <c r="FJ36" s="973"/>
      <c r="FK36" s="966"/>
      <c r="FL36" s="973"/>
      <c r="FM36" s="978"/>
      <c r="FN36" s="978"/>
      <c r="FO36" s="966"/>
      <c r="FP36" s="966"/>
      <c r="FQ36" s="966"/>
      <c r="FR36" s="966"/>
      <c r="FS36" s="966"/>
      <c r="FT36" s="966"/>
      <c r="FU36" s="965"/>
      <c r="FV36" s="966"/>
      <c r="FW36" s="973"/>
      <c r="FX36" s="966"/>
      <c r="FY36" s="973"/>
      <c r="FZ36" s="978"/>
      <c r="GA36" s="978"/>
      <c r="GB36" s="966"/>
      <c r="GC36" s="966"/>
      <c r="GD36" s="966"/>
      <c r="GE36" s="966"/>
      <c r="GF36" s="966"/>
      <c r="GG36" s="966"/>
      <c r="GH36" s="965"/>
      <c r="GI36" s="966"/>
      <c r="GJ36" s="973"/>
      <c r="GK36" s="966"/>
      <c r="GL36" s="973"/>
      <c r="GM36" s="978"/>
      <c r="GN36" s="978"/>
      <c r="GO36" s="966"/>
      <c r="GP36" s="966"/>
      <c r="GQ36" s="966"/>
      <c r="GR36" s="966"/>
      <c r="GS36" s="966"/>
      <c r="GT36" s="966"/>
      <c r="GU36" s="965"/>
      <c r="GV36" s="966"/>
      <c r="GW36" s="973"/>
      <c r="GX36" s="966"/>
      <c r="GY36" s="973"/>
      <c r="GZ36" s="978"/>
      <c r="HA36" s="978"/>
      <c r="HB36" s="966"/>
      <c r="HC36" s="966"/>
      <c r="HD36" s="966"/>
      <c r="HE36" s="966"/>
      <c r="HF36" s="966"/>
      <c r="HG36" s="966"/>
      <c r="HH36" s="965"/>
      <c r="HI36" s="966"/>
      <c r="HJ36" s="973"/>
      <c r="HK36" s="966"/>
      <c r="HL36" s="973"/>
      <c r="HM36" s="978"/>
      <c r="HN36" s="978"/>
      <c r="HO36" s="966"/>
      <c r="HP36" s="966"/>
      <c r="HQ36" s="966"/>
      <c r="HR36" s="966"/>
      <c r="HS36" s="966"/>
      <c r="HT36" s="966"/>
      <c r="HU36" s="965"/>
      <c r="HV36" s="966"/>
      <c r="HW36" s="973"/>
      <c r="HX36" s="966"/>
      <c r="HY36" s="973"/>
      <c r="HZ36" s="978"/>
      <c r="IA36" s="978"/>
      <c r="IB36" s="966"/>
      <c r="IC36" s="966"/>
      <c r="ID36" s="966"/>
      <c r="IE36" s="966"/>
      <c r="IF36" s="966"/>
      <c r="IG36" s="966"/>
      <c r="IH36" s="965"/>
      <c r="II36" s="966"/>
      <c r="IJ36" s="973"/>
      <c r="IK36" s="966"/>
      <c r="IL36" s="973"/>
      <c r="IM36" s="978"/>
      <c r="IN36" s="978"/>
      <c r="IO36" s="966"/>
      <c r="IP36" s="966"/>
      <c r="IQ36" s="966"/>
      <c r="IR36" s="966"/>
      <c r="IS36" s="966"/>
      <c r="IT36" s="966"/>
      <c r="IU36" s="965"/>
      <c r="IV36" s="966"/>
      <c r="IW36" s="973"/>
      <c r="IX36" s="966"/>
      <c r="IY36" s="973"/>
      <c r="IZ36" s="978"/>
      <c r="JA36" s="978"/>
      <c r="JB36" s="966"/>
      <c r="JC36" s="966"/>
      <c r="JD36" s="966"/>
      <c r="JE36" s="966"/>
      <c r="JF36" s="966"/>
      <c r="JG36" s="966"/>
      <c r="JH36" s="965"/>
      <c r="JI36" s="966"/>
      <c r="JJ36" s="973"/>
      <c r="JK36" s="966"/>
      <c r="JL36" s="973"/>
      <c r="JM36" s="978"/>
      <c r="JN36" s="978"/>
      <c r="JO36" s="966"/>
      <c r="JP36" s="966"/>
      <c r="JQ36" s="966"/>
      <c r="JR36" s="966"/>
      <c r="JS36" s="966"/>
      <c r="JT36" s="966"/>
      <c r="JU36" s="965"/>
      <c r="JV36" s="966"/>
      <c r="JW36" s="973"/>
      <c r="JX36" s="966"/>
      <c r="JY36" s="973"/>
      <c r="JZ36" s="978"/>
      <c r="KA36" s="978"/>
      <c r="KB36" s="966"/>
      <c r="KC36" s="966"/>
      <c r="KD36" s="966"/>
      <c r="KE36" s="966"/>
      <c r="KF36" s="966"/>
      <c r="KG36" s="966"/>
      <c r="KH36" s="965"/>
      <c r="KI36" s="966"/>
      <c r="KJ36" s="973"/>
      <c r="KK36" s="966"/>
      <c r="KL36" s="973"/>
      <c r="KM36" s="978"/>
      <c r="KN36" s="978"/>
      <c r="KO36" s="966"/>
      <c r="KP36" s="966"/>
      <c r="KQ36" s="966"/>
      <c r="KR36" s="966"/>
      <c r="KS36" s="966"/>
      <c r="KT36" s="966"/>
      <c r="KU36" s="965"/>
      <c r="KV36" s="966"/>
      <c r="KW36" s="973"/>
      <c r="KX36" s="966"/>
      <c r="KY36" s="973"/>
      <c r="KZ36" s="978"/>
      <c r="LA36" s="978"/>
      <c r="LB36" s="966"/>
      <c r="LC36" s="966"/>
      <c r="LD36" s="966"/>
      <c r="LE36" s="966"/>
      <c r="LF36" s="966"/>
      <c r="LG36" s="966"/>
      <c r="LH36" s="965"/>
      <c r="LI36" s="966"/>
      <c r="LJ36" s="973"/>
      <c r="LK36" s="966"/>
      <c r="LL36" s="973"/>
      <c r="LM36" s="978"/>
      <c r="LN36" s="978"/>
      <c r="LO36" s="966"/>
      <c r="LP36" s="966"/>
      <c r="LQ36" s="966"/>
      <c r="LR36" s="966"/>
      <c r="LS36" s="966"/>
      <c r="LT36" s="966"/>
      <c r="LU36" s="965"/>
      <c r="LV36" s="966"/>
      <c r="LW36" s="973"/>
      <c r="LX36" s="966"/>
      <c r="LY36" s="973"/>
      <c r="LZ36" s="978"/>
      <c r="MA36" s="978"/>
      <c r="MB36" s="966"/>
      <c r="MC36" s="966"/>
      <c r="MD36" s="966"/>
      <c r="ME36" s="966"/>
      <c r="MF36" s="966"/>
      <c r="MG36" s="966"/>
    </row>
    <row r="37" spans="1:345">
      <c r="B37" s="196">
        <f>INDEX(Groups!$C$7:$C$65,MATCH(C37,Groups!$D$7:$D$65,0))</f>
        <v>23</v>
      </c>
      <c r="C37" s="197" t="str">
        <f>CalcE!$P$25</f>
        <v>Ecuador</v>
      </c>
      <c r="D37" s="198">
        <f>INDEX(Groups!$C$7:$C$65,MATCH(E37,Groups!$D$7:$D$65,0))</f>
        <v>82</v>
      </c>
      <c r="E37" s="197" t="str">
        <f>CalcE!$Q$25</f>
        <v>Curacao</v>
      </c>
      <c r="F37" s="199" t="str">
        <f>CalcE!$R$25</f>
        <v/>
      </c>
      <c r="G37" s="200" t="str">
        <f>CalcE!$S$25</f>
        <v/>
      </c>
      <c r="I37" s="196">
        <f t="shared" si="18"/>
        <v>23</v>
      </c>
      <c r="J37" s="197" t="str">
        <f t="shared" si="19"/>
        <v>Ecuador</v>
      </c>
      <c r="K37" s="198">
        <f t="shared" si="1"/>
        <v>82</v>
      </c>
      <c r="L37" s="197" t="str">
        <f t="shared" si="20"/>
        <v>Curacao</v>
      </c>
      <c r="M37" s="232"/>
      <c r="N37" s="232"/>
      <c r="O37" s="228"/>
      <c r="P37" s="198" t="str">
        <f t="shared" si="21"/>
        <v/>
      </c>
      <c r="Q37" s="198" t="str">
        <f>IF((P37&lt;&gt;""),IF(OR($F37&lt;&gt;$G37,PrSettings!$M$4="●"),(($F37-$G37)=(M37-N37))*1,0),"")</f>
        <v/>
      </c>
      <c r="R37" s="198" t="str">
        <f t="shared" si="22"/>
        <v/>
      </c>
      <c r="S37" s="198" t="str">
        <f>IF(P37&lt;&gt;"",IF(ABS($F37-$G37)&gt;=PrSettings!$M$7,(ABS($F37-$G37-M37+N37)&lt;=1)*1,IF(AND(P37,$F37=$G37,$F37&gt;=PrSettings!$M$6),(ABS(M37-$F37)&lt;=1)*1,IF(AND(P37,$F37+$G37&gt;=PrSettings!$M$8),(ABS(M37-$F37)+ABS(N37-$G37)&lt;=1)*1,""))),"")</f>
        <v/>
      </c>
      <c r="T37" s="989"/>
      <c r="U37" s="965"/>
      <c r="V37" s="966"/>
      <c r="W37" s="973"/>
      <c r="X37" s="966"/>
      <c r="Y37" s="973"/>
      <c r="Z37" s="978"/>
      <c r="AA37" s="978"/>
      <c r="AB37" s="966"/>
      <c r="AC37" s="966"/>
      <c r="AD37" s="966"/>
      <c r="AE37" s="966"/>
      <c r="AF37" s="966"/>
      <c r="AG37" s="966"/>
      <c r="AH37" s="965"/>
      <c r="AI37" s="966"/>
      <c r="AJ37" s="973"/>
      <c r="AK37" s="966"/>
      <c r="AL37" s="973"/>
      <c r="AM37" s="978"/>
      <c r="AN37" s="978"/>
      <c r="AO37" s="966"/>
      <c r="AP37" s="966"/>
      <c r="AQ37" s="966"/>
      <c r="AR37" s="966"/>
      <c r="AS37" s="966"/>
      <c r="AT37" s="966"/>
      <c r="AU37" s="965"/>
      <c r="AV37" s="966"/>
      <c r="AW37" s="973"/>
      <c r="AX37" s="966"/>
      <c r="AY37" s="973"/>
      <c r="AZ37" s="978"/>
      <c r="BA37" s="978"/>
      <c r="BB37" s="966"/>
      <c r="BC37" s="966"/>
      <c r="BD37" s="966"/>
      <c r="BE37" s="966"/>
      <c r="BF37" s="966"/>
      <c r="BG37" s="966"/>
      <c r="BH37" s="965"/>
      <c r="BI37" s="966"/>
      <c r="BJ37" s="973"/>
      <c r="BK37" s="966"/>
      <c r="BL37" s="973"/>
      <c r="BM37" s="978"/>
      <c r="BN37" s="978"/>
      <c r="BO37" s="966"/>
      <c r="BP37" s="966"/>
      <c r="BQ37" s="966"/>
      <c r="BR37" s="966"/>
      <c r="BS37" s="966"/>
      <c r="BT37" s="966"/>
      <c r="BU37" s="965"/>
      <c r="BV37" s="966"/>
      <c r="BW37" s="973"/>
      <c r="BX37" s="966"/>
      <c r="BY37" s="973"/>
      <c r="BZ37" s="978"/>
      <c r="CA37" s="978"/>
      <c r="CB37" s="966"/>
      <c r="CC37" s="966"/>
      <c r="CD37" s="966"/>
      <c r="CE37" s="966"/>
      <c r="CF37" s="966"/>
      <c r="CG37" s="966"/>
      <c r="CH37" s="965"/>
      <c r="CI37" s="966"/>
      <c r="CJ37" s="973"/>
      <c r="CK37" s="966"/>
      <c r="CL37" s="973"/>
      <c r="CM37" s="978"/>
      <c r="CN37" s="978"/>
      <c r="CO37" s="966"/>
      <c r="CP37" s="966"/>
      <c r="CQ37" s="966"/>
      <c r="CR37" s="966"/>
      <c r="CS37" s="966"/>
      <c r="CT37" s="966"/>
      <c r="CU37" s="965"/>
      <c r="CV37" s="966"/>
      <c r="CW37" s="973"/>
      <c r="CX37" s="966"/>
      <c r="CY37" s="973"/>
      <c r="CZ37" s="978"/>
      <c r="DA37" s="978"/>
      <c r="DB37" s="966"/>
      <c r="DC37" s="966"/>
      <c r="DD37" s="966"/>
      <c r="DE37" s="966"/>
      <c r="DF37" s="966"/>
      <c r="DG37" s="966"/>
      <c r="DH37" s="965"/>
      <c r="DI37" s="966"/>
      <c r="DJ37" s="973"/>
      <c r="DK37" s="966"/>
      <c r="DL37" s="973"/>
      <c r="DM37" s="978"/>
      <c r="DN37" s="978"/>
      <c r="DO37" s="966"/>
      <c r="DP37" s="966"/>
      <c r="DQ37" s="966"/>
      <c r="DR37" s="966"/>
      <c r="DS37" s="966"/>
      <c r="DT37" s="966"/>
      <c r="DU37" s="965"/>
      <c r="DV37" s="966"/>
      <c r="DW37" s="973"/>
      <c r="DX37" s="966"/>
      <c r="DY37" s="973"/>
      <c r="DZ37" s="978"/>
      <c r="EA37" s="978"/>
      <c r="EB37" s="966"/>
      <c r="EC37" s="966"/>
      <c r="ED37" s="966"/>
      <c r="EE37" s="966"/>
      <c r="EF37" s="966"/>
      <c r="EG37" s="966"/>
      <c r="EH37" s="965"/>
      <c r="EI37" s="966"/>
      <c r="EJ37" s="973"/>
      <c r="EK37" s="966"/>
      <c r="EL37" s="973"/>
      <c r="EM37" s="978"/>
      <c r="EN37" s="978"/>
      <c r="EO37" s="966"/>
      <c r="EP37" s="966"/>
      <c r="EQ37" s="966"/>
      <c r="ER37" s="966"/>
      <c r="ES37" s="966"/>
      <c r="ET37" s="966"/>
      <c r="EU37" s="965"/>
      <c r="EV37" s="966"/>
      <c r="EW37" s="973"/>
      <c r="EX37" s="966"/>
      <c r="EY37" s="973"/>
      <c r="EZ37" s="978"/>
      <c r="FA37" s="978"/>
      <c r="FB37" s="966"/>
      <c r="FC37" s="966"/>
      <c r="FD37" s="966"/>
      <c r="FE37" s="966"/>
      <c r="FF37" s="966"/>
      <c r="FG37" s="966"/>
      <c r="FH37" s="965"/>
      <c r="FI37" s="966"/>
      <c r="FJ37" s="973"/>
      <c r="FK37" s="966"/>
      <c r="FL37" s="973"/>
      <c r="FM37" s="978"/>
      <c r="FN37" s="978"/>
      <c r="FO37" s="966"/>
      <c r="FP37" s="966"/>
      <c r="FQ37" s="966"/>
      <c r="FR37" s="966"/>
      <c r="FS37" s="966"/>
      <c r="FT37" s="966"/>
      <c r="FU37" s="965"/>
      <c r="FV37" s="966"/>
      <c r="FW37" s="973"/>
      <c r="FX37" s="966"/>
      <c r="FY37" s="973"/>
      <c r="FZ37" s="978"/>
      <c r="GA37" s="978"/>
      <c r="GB37" s="966"/>
      <c r="GC37" s="966"/>
      <c r="GD37" s="966"/>
      <c r="GE37" s="966"/>
      <c r="GF37" s="966"/>
      <c r="GG37" s="966"/>
      <c r="GH37" s="965"/>
      <c r="GI37" s="966"/>
      <c r="GJ37" s="973"/>
      <c r="GK37" s="966"/>
      <c r="GL37" s="973"/>
      <c r="GM37" s="978"/>
      <c r="GN37" s="978"/>
      <c r="GO37" s="966"/>
      <c r="GP37" s="966"/>
      <c r="GQ37" s="966"/>
      <c r="GR37" s="966"/>
      <c r="GS37" s="966"/>
      <c r="GT37" s="966"/>
      <c r="GU37" s="965"/>
      <c r="GV37" s="966"/>
      <c r="GW37" s="973"/>
      <c r="GX37" s="966"/>
      <c r="GY37" s="973"/>
      <c r="GZ37" s="978"/>
      <c r="HA37" s="978"/>
      <c r="HB37" s="966"/>
      <c r="HC37" s="966"/>
      <c r="HD37" s="966"/>
      <c r="HE37" s="966"/>
      <c r="HF37" s="966"/>
      <c r="HG37" s="966"/>
      <c r="HH37" s="965"/>
      <c r="HI37" s="966"/>
      <c r="HJ37" s="973"/>
      <c r="HK37" s="966"/>
      <c r="HL37" s="973"/>
      <c r="HM37" s="978"/>
      <c r="HN37" s="978"/>
      <c r="HO37" s="966"/>
      <c r="HP37" s="966"/>
      <c r="HQ37" s="966"/>
      <c r="HR37" s="966"/>
      <c r="HS37" s="966"/>
      <c r="HT37" s="966"/>
      <c r="HU37" s="965"/>
      <c r="HV37" s="966"/>
      <c r="HW37" s="973"/>
      <c r="HX37" s="966"/>
      <c r="HY37" s="973"/>
      <c r="HZ37" s="978"/>
      <c r="IA37" s="978"/>
      <c r="IB37" s="966"/>
      <c r="IC37" s="966"/>
      <c r="ID37" s="966"/>
      <c r="IE37" s="966"/>
      <c r="IF37" s="966"/>
      <c r="IG37" s="966"/>
      <c r="IH37" s="965"/>
      <c r="II37" s="966"/>
      <c r="IJ37" s="973"/>
      <c r="IK37" s="966"/>
      <c r="IL37" s="973"/>
      <c r="IM37" s="978"/>
      <c r="IN37" s="978"/>
      <c r="IO37" s="966"/>
      <c r="IP37" s="966"/>
      <c r="IQ37" s="966"/>
      <c r="IR37" s="966"/>
      <c r="IS37" s="966"/>
      <c r="IT37" s="966"/>
      <c r="IU37" s="965"/>
      <c r="IV37" s="966"/>
      <c r="IW37" s="973"/>
      <c r="IX37" s="966"/>
      <c r="IY37" s="973"/>
      <c r="IZ37" s="978"/>
      <c r="JA37" s="978"/>
      <c r="JB37" s="966"/>
      <c r="JC37" s="966"/>
      <c r="JD37" s="966"/>
      <c r="JE37" s="966"/>
      <c r="JF37" s="966"/>
      <c r="JG37" s="966"/>
      <c r="JH37" s="965"/>
      <c r="JI37" s="966"/>
      <c r="JJ37" s="973"/>
      <c r="JK37" s="966"/>
      <c r="JL37" s="973"/>
      <c r="JM37" s="978"/>
      <c r="JN37" s="978"/>
      <c r="JO37" s="966"/>
      <c r="JP37" s="966"/>
      <c r="JQ37" s="966"/>
      <c r="JR37" s="966"/>
      <c r="JS37" s="966"/>
      <c r="JT37" s="966"/>
      <c r="JU37" s="965"/>
      <c r="JV37" s="966"/>
      <c r="JW37" s="973"/>
      <c r="JX37" s="966"/>
      <c r="JY37" s="973"/>
      <c r="JZ37" s="978"/>
      <c r="KA37" s="978"/>
      <c r="KB37" s="966"/>
      <c r="KC37" s="966"/>
      <c r="KD37" s="966"/>
      <c r="KE37" s="966"/>
      <c r="KF37" s="966"/>
      <c r="KG37" s="966"/>
      <c r="KH37" s="965"/>
      <c r="KI37" s="966"/>
      <c r="KJ37" s="973"/>
      <c r="KK37" s="966"/>
      <c r="KL37" s="973"/>
      <c r="KM37" s="978"/>
      <c r="KN37" s="978"/>
      <c r="KO37" s="966"/>
      <c r="KP37" s="966"/>
      <c r="KQ37" s="966"/>
      <c r="KR37" s="966"/>
      <c r="KS37" s="966"/>
      <c r="KT37" s="966"/>
      <c r="KU37" s="965"/>
      <c r="KV37" s="966"/>
      <c r="KW37" s="973"/>
      <c r="KX37" s="966"/>
      <c r="KY37" s="973"/>
      <c r="KZ37" s="978"/>
      <c r="LA37" s="978"/>
      <c r="LB37" s="966"/>
      <c r="LC37" s="966"/>
      <c r="LD37" s="966"/>
      <c r="LE37" s="966"/>
      <c r="LF37" s="966"/>
      <c r="LG37" s="966"/>
      <c r="LH37" s="965"/>
      <c r="LI37" s="966"/>
      <c r="LJ37" s="973"/>
      <c r="LK37" s="966"/>
      <c r="LL37" s="973"/>
      <c r="LM37" s="978"/>
      <c r="LN37" s="978"/>
      <c r="LO37" s="966"/>
      <c r="LP37" s="966"/>
      <c r="LQ37" s="966"/>
      <c r="LR37" s="966"/>
      <c r="LS37" s="966"/>
      <c r="LT37" s="966"/>
      <c r="LU37" s="965"/>
      <c r="LV37" s="966"/>
      <c r="LW37" s="973"/>
      <c r="LX37" s="966"/>
      <c r="LY37" s="973"/>
      <c r="LZ37" s="978"/>
      <c r="MA37" s="978"/>
      <c r="MB37" s="966"/>
      <c r="MC37" s="966"/>
      <c r="MD37" s="966"/>
      <c r="ME37" s="966"/>
      <c r="MF37" s="966"/>
      <c r="MG37" s="966"/>
    </row>
    <row r="38" spans="1:345">
      <c r="B38" s="196">
        <f>INDEX(Groups!$C$7:$C$65,MATCH(C38,Groups!$D$7:$D$65,0))</f>
        <v>82</v>
      </c>
      <c r="C38" s="197" t="str">
        <f>CalcE!$P$26</f>
        <v>Curacao</v>
      </c>
      <c r="D38" s="198">
        <f>INDEX(Groups!$C$7:$C$65,MATCH(E38,Groups!$D$7:$D$65,0))</f>
        <v>34</v>
      </c>
      <c r="E38" s="197" t="str">
        <f>CalcE!$Q$26</f>
        <v>Ivoorkust</v>
      </c>
      <c r="F38" s="199" t="str">
        <f>CalcE!$R$26</f>
        <v/>
      </c>
      <c r="G38" s="200" t="str">
        <f>CalcE!$S$26</f>
        <v/>
      </c>
      <c r="I38" s="196">
        <f t="shared" si="18"/>
        <v>82</v>
      </c>
      <c r="J38" s="197" t="str">
        <f t="shared" si="19"/>
        <v>Curacao</v>
      </c>
      <c r="K38" s="198">
        <f t="shared" si="1"/>
        <v>34</v>
      </c>
      <c r="L38" s="197" t="str">
        <f t="shared" si="20"/>
        <v>Ivoorkust</v>
      </c>
      <c r="M38" s="232"/>
      <c r="N38" s="232"/>
      <c r="O38" s="228"/>
      <c r="P38" s="198" t="str">
        <f t="shared" si="21"/>
        <v/>
      </c>
      <c r="Q38" s="198" t="str">
        <f>IF((P38&lt;&gt;""),IF(OR($F38&lt;&gt;$G38,PrSettings!$M$4="●"),(($F38-$G38)=(M38-N38))*1,0),"")</f>
        <v/>
      </c>
      <c r="R38" s="198" t="str">
        <f t="shared" si="22"/>
        <v/>
      </c>
      <c r="S38" s="198" t="str">
        <f>IF(P38&lt;&gt;"",IF(ABS($F38-$G38)&gt;=PrSettings!$M$7,(ABS($F38-$G38-M38+N38)&lt;=1)*1,IF(AND(P38,$F38=$G38,$F38&gt;=PrSettings!$M$6),(ABS(M38-$F38)&lt;=1)*1,IF(AND(P38,$F38+$G38&gt;=PrSettings!$M$8),(ABS(M38-$F38)+ABS(N38-$G38)&lt;=1)*1,""))),"")</f>
        <v/>
      </c>
      <c r="T38" s="989"/>
      <c r="U38" s="965"/>
      <c r="V38" s="966"/>
      <c r="W38" s="973"/>
      <c r="X38" s="966"/>
      <c r="Y38" s="973"/>
      <c r="Z38" s="978"/>
      <c r="AA38" s="978"/>
      <c r="AB38" s="966"/>
      <c r="AC38" s="966"/>
      <c r="AD38" s="966"/>
      <c r="AE38" s="966"/>
      <c r="AF38" s="966"/>
      <c r="AG38" s="966"/>
      <c r="AH38" s="965"/>
      <c r="AI38" s="966"/>
      <c r="AJ38" s="973"/>
      <c r="AK38" s="966"/>
      <c r="AL38" s="973"/>
      <c r="AM38" s="978"/>
      <c r="AN38" s="978"/>
      <c r="AO38" s="966"/>
      <c r="AP38" s="966"/>
      <c r="AQ38" s="966"/>
      <c r="AR38" s="966"/>
      <c r="AS38" s="966"/>
      <c r="AT38" s="966"/>
      <c r="AU38" s="965"/>
      <c r="AV38" s="966"/>
      <c r="AW38" s="973"/>
      <c r="AX38" s="966"/>
      <c r="AY38" s="973"/>
      <c r="AZ38" s="978"/>
      <c r="BA38" s="978"/>
      <c r="BB38" s="966"/>
      <c r="BC38" s="966"/>
      <c r="BD38" s="966"/>
      <c r="BE38" s="966"/>
      <c r="BF38" s="966"/>
      <c r="BG38" s="966"/>
      <c r="BH38" s="965"/>
      <c r="BI38" s="966"/>
      <c r="BJ38" s="973"/>
      <c r="BK38" s="966"/>
      <c r="BL38" s="973"/>
      <c r="BM38" s="978"/>
      <c r="BN38" s="978"/>
      <c r="BO38" s="966"/>
      <c r="BP38" s="966"/>
      <c r="BQ38" s="966"/>
      <c r="BR38" s="966"/>
      <c r="BS38" s="966"/>
      <c r="BT38" s="966"/>
      <c r="BU38" s="965"/>
      <c r="BV38" s="966"/>
      <c r="BW38" s="973"/>
      <c r="BX38" s="966"/>
      <c r="BY38" s="973"/>
      <c r="BZ38" s="978"/>
      <c r="CA38" s="978"/>
      <c r="CB38" s="966"/>
      <c r="CC38" s="966"/>
      <c r="CD38" s="966"/>
      <c r="CE38" s="966"/>
      <c r="CF38" s="966"/>
      <c r="CG38" s="966"/>
      <c r="CH38" s="965"/>
      <c r="CI38" s="966"/>
      <c r="CJ38" s="973"/>
      <c r="CK38" s="966"/>
      <c r="CL38" s="973"/>
      <c r="CM38" s="978"/>
      <c r="CN38" s="978"/>
      <c r="CO38" s="966"/>
      <c r="CP38" s="966"/>
      <c r="CQ38" s="966"/>
      <c r="CR38" s="966"/>
      <c r="CS38" s="966"/>
      <c r="CT38" s="966"/>
      <c r="CU38" s="965"/>
      <c r="CV38" s="966"/>
      <c r="CW38" s="973"/>
      <c r="CX38" s="966"/>
      <c r="CY38" s="973"/>
      <c r="CZ38" s="978"/>
      <c r="DA38" s="978"/>
      <c r="DB38" s="966"/>
      <c r="DC38" s="966"/>
      <c r="DD38" s="966"/>
      <c r="DE38" s="966"/>
      <c r="DF38" s="966"/>
      <c r="DG38" s="966"/>
      <c r="DH38" s="965"/>
      <c r="DI38" s="966"/>
      <c r="DJ38" s="973"/>
      <c r="DK38" s="966"/>
      <c r="DL38" s="973"/>
      <c r="DM38" s="978"/>
      <c r="DN38" s="978"/>
      <c r="DO38" s="966"/>
      <c r="DP38" s="966"/>
      <c r="DQ38" s="966"/>
      <c r="DR38" s="966"/>
      <c r="DS38" s="966"/>
      <c r="DT38" s="966"/>
      <c r="DU38" s="965"/>
      <c r="DV38" s="966"/>
      <c r="DW38" s="973"/>
      <c r="DX38" s="966"/>
      <c r="DY38" s="973"/>
      <c r="DZ38" s="978"/>
      <c r="EA38" s="978"/>
      <c r="EB38" s="966"/>
      <c r="EC38" s="966"/>
      <c r="ED38" s="966"/>
      <c r="EE38" s="966"/>
      <c r="EF38" s="966"/>
      <c r="EG38" s="966"/>
      <c r="EH38" s="965"/>
      <c r="EI38" s="966"/>
      <c r="EJ38" s="973"/>
      <c r="EK38" s="966"/>
      <c r="EL38" s="973"/>
      <c r="EM38" s="978"/>
      <c r="EN38" s="978"/>
      <c r="EO38" s="966"/>
      <c r="EP38" s="966"/>
      <c r="EQ38" s="966"/>
      <c r="ER38" s="966"/>
      <c r="ES38" s="966"/>
      <c r="ET38" s="966"/>
      <c r="EU38" s="965"/>
      <c r="EV38" s="966"/>
      <c r="EW38" s="973"/>
      <c r="EX38" s="966"/>
      <c r="EY38" s="973"/>
      <c r="EZ38" s="978"/>
      <c r="FA38" s="978"/>
      <c r="FB38" s="966"/>
      <c r="FC38" s="966"/>
      <c r="FD38" s="966"/>
      <c r="FE38" s="966"/>
      <c r="FF38" s="966"/>
      <c r="FG38" s="966"/>
      <c r="FH38" s="965"/>
      <c r="FI38" s="966"/>
      <c r="FJ38" s="973"/>
      <c r="FK38" s="966"/>
      <c r="FL38" s="973"/>
      <c r="FM38" s="978"/>
      <c r="FN38" s="978"/>
      <c r="FO38" s="966"/>
      <c r="FP38" s="966"/>
      <c r="FQ38" s="966"/>
      <c r="FR38" s="966"/>
      <c r="FS38" s="966"/>
      <c r="FT38" s="966"/>
      <c r="FU38" s="965"/>
      <c r="FV38" s="966"/>
      <c r="FW38" s="973"/>
      <c r="FX38" s="966"/>
      <c r="FY38" s="973"/>
      <c r="FZ38" s="978"/>
      <c r="GA38" s="978"/>
      <c r="GB38" s="966"/>
      <c r="GC38" s="966"/>
      <c r="GD38" s="966"/>
      <c r="GE38" s="966"/>
      <c r="GF38" s="966"/>
      <c r="GG38" s="966"/>
      <c r="GH38" s="965"/>
      <c r="GI38" s="966"/>
      <c r="GJ38" s="973"/>
      <c r="GK38" s="966"/>
      <c r="GL38" s="973"/>
      <c r="GM38" s="978"/>
      <c r="GN38" s="978"/>
      <c r="GO38" s="966"/>
      <c r="GP38" s="966"/>
      <c r="GQ38" s="966"/>
      <c r="GR38" s="966"/>
      <c r="GS38" s="966"/>
      <c r="GT38" s="966"/>
      <c r="GU38" s="965"/>
      <c r="GV38" s="966"/>
      <c r="GW38" s="973"/>
      <c r="GX38" s="966"/>
      <c r="GY38" s="973"/>
      <c r="GZ38" s="978"/>
      <c r="HA38" s="978"/>
      <c r="HB38" s="966"/>
      <c r="HC38" s="966"/>
      <c r="HD38" s="966"/>
      <c r="HE38" s="966"/>
      <c r="HF38" s="966"/>
      <c r="HG38" s="966"/>
      <c r="HH38" s="965"/>
      <c r="HI38" s="966"/>
      <c r="HJ38" s="973"/>
      <c r="HK38" s="966"/>
      <c r="HL38" s="973"/>
      <c r="HM38" s="978"/>
      <c r="HN38" s="978"/>
      <c r="HO38" s="966"/>
      <c r="HP38" s="966"/>
      <c r="HQ38" s="966"/>
      <c r="HR38" s="966"/>
      <c r="HS38" s="966"/>
      <c r="HT38" s="966"/>
      <c r="HU38" s="965"/>
      <c r="HV38" s="966"/>
      <c r="HW38" s="973"/>
      <c r="HX38" s="966"/>
      <c r="HY38" s="973"/>
      <c r="HZ38" s="978"/>
      <c r="IA38" s="978"/>
      <c r="IB38" s="966"/>
      <c r="IC38" s="966"/>
      <c r="ID38" s="966"/>
      <c r="IE38" s="966"/>
      <c r="IF38" s="966"/>
      <c r="IG38" s="966"/>
      <c r="IH38" s="965"/>
      <c r="II38" s="966"/>
      <c r="IJ38" s="973"/>
      <c r="IK38" s="966"/>
      <c r="IL38" s="973"/>
      <c r="IM38" s="978"/>
      <c r="IN38" s="978"/>
      <c r="IO38" s="966"/>
      <c r="IP38" s="966"/>
      <c r="IQ38" s="966"/>
      <c r="IR38" s="966"/>
      <c r="IS38" s="966"/>
      <c r="IT38" s="966"/>
      <c r="IU38" s="965"/>
      <c r="IV38" s="966"/>
      <c r="IW38" s="973"/>
      <c r="IX38" s="966"/>
      <c r="IY38" s="973"/>
      <c r="IZ38" s="978"/>
      <c r="JA38" s="978"/>
      <c r="JB38" s="966"/>
      <c r="JC38" s="966"/>
      <c r="JD38" s="966"/>
      <c r="JE38" s="966"/>
      <c r="JF38" s="966"/>
      <c r="JG38" s="966"/>
      <c r="JH38" s="965"/>
      <c r="JI38" s="966"/>
      <c r="JJ38" s="973"/>
      <c r="JK38" s="966"/>
      <c r="JL38" s="973"/>
      <c r="JM38" s="978"/>
      <c r="JN38" s="978"/>
      <c r="JO38" s="966"/>
      <c r="JP38" s="966"/>
      <c r="JQ38" s="966"/>
      <c r="JR38" s="966"/>
      <c r="JS38" s="966"/>
      <c r="JT38" s="966"/>
      <c r="JU38" s="965"/>
      <c r="JV38" s="966"/>
      <c r="JW38" s="973"/>
      <c r="JX38" s="966"/>
      <c r="JY38" s="973"/>
      <c r="JZ38" s="978"/>
      <c r="KA38" s="978"/>
      <c r="KB38" s="966"/>
      <c r="KC38" s="966"/>
      <c r="KD38" s="966"/>
      <c r="KE38" s="966"/>
      <c r="KF38" s="966"/>
      <c r="KG38" s="966"/>
      <c r="KH38" s="965"/>
      <c r="KI38" s="966"/>
      <c r="KJ38" s="973"/>
      <c r="KK38" s="966"/>
      <c r="KL38" s="973"/>
      <c r="KM38" s="978"/>
      <c r="KN38" s="978"/>
      <c r="KO38" s="966"/>
      <c r="KP38" s="966"/>
      <c r="KQ38" s="966"/>
      <c r="KR38" s="966"/>
      <c r="KS38" s="966"/>
      <c r="KT38" s="966"/>
      <c r="KU38" s="965"/>
      <c r="KV38" s="966"/>
      <c r="KW38" s="973"/>
      <c r="KX38" s="966"/>
      <c r="KY38" s="973"/>
      <c r="KZ38" s="978"/>
      <c r="LA38" s="978"/>
      <c r="LB38" s="966"/>
      <c r="LC38" s="966"/>
      <c r="LD38" s="966"/>
      <c r="LE38" s="966"/>
      <c r="LF38" s="966"/>
      <c r="LG38" s="966"/>
      <c r="LH38" s="965"/>
      <c r="LI38" s="966"/>
      <c r="LJ38" s="973"/>
      <c r="LK38" s="966"/>
      <c r="LL38" s="973"/>
      <c r="LM38" s="978"/>
      <c r="LN38" s="978"/>
      <c r="LO38" s="966"/>
      <c r="LP38" s="966"/>
      <c r="LQ38" s="966"/>
      <c r="LR38" s="966"/>
      <c r="LS38" s="966"/>
      <c r="LT38" s="966"/>
      <c r="LU38" s="965"/>
      <c r="LV38" s="966"/>
      <c r="LW38" s="973"/>
      <c r="LX38" s="966"/>
      <c r="LY38" s="973"/>
      <c r="LZ38" s="978"/>
      <c r="MA38" s="978"/>
      <c r="MB38" s="966"/>
      <c r="MC38" s="966"/>
      <c r="MD38" s="966"/>
      <c r="ME38" s="966"/>
      <c r="MF38" s="966"/>
      <c r="MG38" s="966"/>
    </row>
    <row r="39" spans="1:345">
      <c r="B39" s="196">
        <f>INDEX(Groups!$C$7:$C$65,MATCH(C39,Groups!$D$7:$D$65,0))</f>
        <v>23</v>
      </c>
      <c r="C39" s="197" t="str">
        <f>CalcE!$P$27</f>
        <v>Ecuador</v>
      </c>
      <c r="D39" s="198">
        <f>INDEX(Groups!$C$7:$C$65,MATCH(E39,Groups!$D$7:$D$65,0))</f>
        <v>10</v>
      </c>
      <c r="E39" s="197" t="str">
        <f>CalcE!$Q$27</f>
        <v>Duitsland</v>
      </c>
      <c r="F39" s="199" t="str">
        <f>CalcE!$R$27</f>
        <v/>
      </c>
      <c r="G39" s="200" t="str">
        <f>CalcE!$S$27</f>
        <v/>
      </c>
      <c r="I39" s="196">
        <f t="shared" si="18"/>
        <v>23</v>
      </c>
      <c r="J39" s="197" t="str">
        <f t="shared" si="19"/>
        <v>Ecuador</v>
      </c>
      <c r="K39" s="198">
        <f t="shared" si="1"/>
        <v>10</v>
      </c>
      <c r="L39" s="197" t="str">
        <f t="shared" si="20"/>
        <v>Duitsland</v>
      </c>
      <c r="M39" s="232"/>
      <c r="N39" s="232"/>
      <c r="O39" s="473"/>
      <c r="P39" s="198" t="str">
        <f t="shared" si="21"/>
        <v/>
      </c>
      <c r="Q39" s="198" t="str">
        <f>IF((P39&lt;&gt;""),IF(OR($F39&lt;&gt;$G39,PrSettings!$M$4="●"),(($F39-$G39)=(M39-N39))*1,0),"")</f>
        <v/>
      </c>
      <c r="R39" s="198" t="str">
        <f t="shared" si="22"/>
        <v/>
      </c>
      <c r="S39" s="198" t="str">
        <f>IF(P39&lt;&gt;"",IF(ABS($F39-$G39)&gt;=PrSettings!$M$7,(ABS($F39-$G39-M39+N39)&lt;=1)*1,IF(AND(P39,$F39=$G39,$F39&gt;=PrSettings!$M$6),(ABS(M39-$F39)&lt;=1)*1,IF(AND(P39,$F39+$G39&gt;=PrSettings!$M$8),(ABS(M39-$F39)+ABS(N39-$G39)&lt;=1)*1,""))),"")</f>
        <v/>
      </c>
      <c r="T39" s="990"/>
      <c r="U39" s="965"/>
      <c r="V39" s="966"/>
      <c r="W39" s="973"/>
      <c r="X39" s="966"/>
      <c r="Y39" s="973"/>
      <c r="Z39" s="978"/>
      <c r="AA39" s="978"/>
      <c r="AB39" s="966"/>
      <c r="AC39" s="966"/>
      <c r="AD39" s="966"/>
      <c r="AE39" s="966"/>
      <c r="AF39" s="966"/>
      <c r="AG39" s="966"/>
      <c r="AH39" s="965"/>
      <c r="AI39" s="966"/>
      <c r="AJ39" s="973"/>
      <c r="AK39" s="966"/>
      <c r="AL39" s="973"/>
      <c r="AM39" s="978"/>
      <c r="AN39" s="978"/>
      <c r="AO39" s="966"/>
      <c r="AP39" s="966"/>
      <c r="AQ39" s="966"/>
      <c r="AR39" s="966"/>
      <c r="AS39" s="966"/>
      <c r="AT39" s="966"/>
      <c r="AU39" s="965"/>
      <c r="AV39" s="966"/>
      <c r="AW39" s="973"/>
      <c r="AX39" s="966"/>
      <c r="AY39" s="973"/>
      <c r="AZ39" s="978"/>
      <c r="BA39" s="978"/>
      <c r="BB39" s="966"/>
      <c r="BC39" s="966"/>
      <c r="BD39" s="966"/>
      <c r="BE39" s="966"/>
      <c r="BF39" s="966"/>
      <c r="BG39" s="966"/>
      <c r="BH39" s="965"/>
      <c r="BI39" s="966"/>
      <c r="BJ39" s="973"/>
      <c r="BK39" s="966"/>
      <c r="BL39" s="973"/>
      <c r="BM39" s="978"/>
      <c r="BN39" s="978"/>
      <c r="BO39" s="966"/>
      <c r="BP39" s="966"/>
      <c r="BQ39" s="966"/>
      <c r="BR39" s="966"/>
      <c r="BS39" s="966"/>
      <c r="BT39" s="966"/>
      <c r="BU39" s="965"/>
      <c r="BV39" s="966"/>
      <c r="BW39" s="973"/>
      <c r="BX39" s="966"/>
      <c r="BY39" s="973"/>
      <c r="BZ39" s="978"/>
      <c r="CA39" s="978"/>
      <c r="CB39" s="966"/>
      <c r="CC39" s="966"/>
      <c r="CD39" s="966"/>
      <c r="CE39" s="966"/>
      <c r="CF39" s="966"/>
      <c r="CG39" s="966"/>
      <c r="CH39" s="965"/>
      <c r="CI39" s="966"/>
      <c r="CJ39" s="973"/>
      <c r="CK39" s="966"/>
      <c r="CL39" s="973"/>
      <c r="CM39" s="978"/>
      <c r="CN39" s="978"/>
      <c r="CO39" s="966"/>
      <c r="CP39" s="966"/>
      <c r="CQ39" s="966"/>
      <c r="CR39" s="966"/>
      <c r="CS39" s="966"/>
      <c r="CT39" s="966"/>
      <c r="CU39" s="965"/>
      <c r="CV39" s="966"/>
      <c r="CW39" s="973"/>
      <c r="CX39" s="966"/>
      <c r="CY39" s="973"/>
      <c r="CZ39" s="978"/>
      <c r="DA39" s="978"/>
      <c r="DB39" s="966"/>
      <c r="DC39" s="966"/>
      <c r="DD39" s="966"/>
      <c r="DE39" s="966"/>
      <c r="DF39" s="966"/>
      <c r="DG39" s="966"/>
      <c r="DH39" s="965"/>
      <c r="DI39" s="966"/>
      <c r="DJ39" s="973"/>
      <c r="DK39" s="966"/>
      <c r="DL39" s="973"/>
      <c r="DM39" s="978"/>
      <c r="DN39" s="978"/>
      <c r="DO39" s="966"/>
      <c r="DP39" s="966"/>
      <c r="DQ39" s="966"/>
      <c r="DR39" s="966"/>
      <c r="DS39" s="966"/>
      <c r="DT39" s="966"/>
      <c r="DU39" s="965"/>
      <c r="DV39" s="966"/>
      <c r="DW39" s="973"/>
      <c r="DX39" s="966"/>
      <c r="DY39" s="973"/>
      <c r="DZ39" s="978"/>
      <c r="EA39" s="978"/>
      <c r="EB39" s="966"/>
      <c r="EC39" s="966"/>
      <c r="ED39" s="966"/>
      <c r="EE39" s="966"/>
      <c r="EF39" s="966"/>
      <c r="EG39" s="966"/>
      <c r="EH39" s="965"/>
      <c r="EI39" s="966"/>
      <c r="EJ39" s="973"/>
      <c r="EK39" s="966"/>
      <c r="EL39" s="973"/>
      <c r="EM39" s="978"/>
      <c r="EN39" s="978"/>
      <c r="EO39" s="966"/>
      <c r="EP39" s="966"/>
      <c r="EQ39" s="966"/>
      <c r="ER39" s="966"/>
      <c r="ES39" s="966"/>
      <c r="ET39" s="966"/>
      <c r="EU39" s="965"/>
      <c r="EV39" s="966"/>
      <c r="EW39" s="973"/>
      <c r="EX39" s="966"/>
      <c r="EY39" s="973"/>
      <c r="EZ39" s="978"/>
      <c r="FA39" s="978"/>
      <c r="FB39" s="966"/>
      <c r="FC39" s="966"/>
      <c r="FD39" s="966"/>
      <c r="FE39" s="966"/>
      <c r="FF39" s="966"/>
      <c r="FG39" s="966"/>
      <c r="FH39" s="965"/>
      <c r="FI39" s="966"/>
      <c r="FJ39" s="973"/>
      <c r="FK39" s="966"/>
      <c r="FL39" s="973"/>
      <c r="FM39" s="978"/>
      <c r="FN39" s="978"/>
      <c r="FO39" s="966"/>
      <c r="FP39" s="966"/>
      <c r="FQ39" s="966"/>
      <c r="FR39" s="966"/>
      <c r="FS39" s="966"/>
      <c r="FT39" s="966"/>
      <c r="FU39" s="965"/>
      <c r="FV39" s="966"/>
      <c r="FW39" s="973"/>
      <c r="FX39" s="966"/>
      <c r="FY39" s="973"/>
      <c r="FZ39" s="978"/>
      <c r="GA39" s="978"/>
      <c r="GB39" s="966"/>
      <c r="GC39" s="966"/>
      <c r="GD39" s="966"/>
      <c r="GE39" s="966"/>
      <c r="GF39" s="966"/>
      <c r="GG39" s="966"/>
      <c r="GH39" s="965"/>
      <c r="GI39" s="966"/>
      <c r="GJ39" s="973"/>
      <c r="GK39" s="966"/>
      <c r="GL39" s="973"/>
      <c r="GM39" s="978"/>
      <c r="GN39" s="978"/>
      <c r="GO39" s="966"/>
      <c r="GP39" s="966"/>
      <c r="GQ39" s="966"/>
      <c r="GR39" s="966"/>
      <c r="GS39" s="966"/>
      <c r="GT39" s="966"/>
      <c r="GU39" s="965"/>
      <c r="GV39" s="966"/>
      <c r="GW39" s="973"/>
      <c r="GX39" s="966"/>
      <c r="GY39" s="973"/>
      <c r="GZ39" s="978"/>
      <c r="HA39" s="978"/>
      <c r="HB39" s="966"/>
      <c r="HC39" s="966"/>
      <c r="HD39" s="966"/>
      <c r="HE39" s="966"/>
      <c r="HF39" s="966"/>
      <c r="HG39" s="966"/>
      <c r="HH39" s="965"/>
      <c r="HI39" s="966"/>
      <c r="HJ39" s="973"/>
      <c r="HK39" s="966"/>
      <c r="HL39" s="973"/>
      <c r="HM39" s="978"/>
      <c r="HN39" s="978"/>
      <c r="HO39" s="966"/>
      <c r="HP39" s="966"/>
      <c r="HQ39" s="966"/>
      <c r="HR39" s="966"/>
      <c r="HS39" s="966"/>
      <c r="HT39" s="966"/>
      <c r="HU39" s="965"/>
      <c r="HV39" s="966"/>
      <c r="HW39" s="973"/>
      <c r="HX39" s="966"/>
      <c r="HY39" s="973"/>
      <c r="HZ39" s="978"/>
      <c r="IA39" s="978"/>
      <c r="IB39" s="966"/>
      <c r="IC39" s="966"/>
      <c r="ID39" s="966"/>
      <c r="IE39" s="966"/>
      <c r="IF39" s="966"/>
      <c r="IG39" s="966"/>
      <c r="IH39" s="965"/>
      <c r="II39" s="966"/>
      <c r="IJ39" s="973"/>
      <c r="IK39" s="966"/>
      <c r="IL39" s="973"/>
      <c r="IM39" s="978"/>
      <c r="IN39" s="978"/>
      <c r="IO39" s="966"/>
      <c r="IP39" s="966"/>
      <c r="IQ39" s="966"/>
      <c r="IR39" s="966"/>
      <c r="IS39" s="966"/>
      <c r="IT39" s="966"/>
      <c r="IU39" s="965"/>
      <c r="IV39" s="966"/>
      <c r="IW39" s="973"/>
      <c r="IX39" s="966"/>
      <c r="IY39" s="973"/>
      <c r="IZ39" s="978"/>
      <c r="JA39" s="978"/>
      <c r="JB39" s="966"/>
      <c r="JC39" s="966"/>
      <c r="JD39" s="966"/>
      <c r="JE39" s="966"/>
      <c r="JF39" s="966"/>
      <c r="JG39" s="966"/>
      <c r="JH39" s="965"/>
      <c r="JI39" s="966"/>
      <c r="JJ39" s="973"/>
      <c r="JK39" s="966"/>
      <c r="JL39" s="973"/>
      <c r="JM39" s="978"/>
      <c r="JN39" s="978"/>
      <c r="JO39" s="966"/>
      <c r="JP39" s="966"/>
      <c r="JQ39" s="966"/>
      <c r="JR39" s="966"/>
      <c r="JS39" s="966"/>
      <c r="JT39" s="966"/>
      <c r="JU39" s="965"/>
      <c r="JV39" s="966"/>
      <c r="JW39" s="973"/>
      <c r="JX39" s="966"/>
      <c r="JY39" s="973"/>
      <c r="JZ39" s="978"/>
      <c r="KA39" s="978"/>
      <c r="KB39" s="966"/>
      <c r="KC39" s="966"/>
      <c r="KD39" s="966"/>
      <c r="KE39" s="966"/>
      <c r="KF39" s="966"/>
      <c r="KG39" s="966"/>
      <c r="KH39" s="965"/>
      <c r="KI39" s="966"/>
      <c r="KJ39" s="973"/>
      <c r="KK39" s="966"/>
      <c r="KL39" s="973"/>
      <c r="KM39" s="978"/>
      <c r="KN39" s="978"/>
      <c r="KO39" s="966"/>
      <c r="KP39" s="966"/>
      <c r="KQ39" s="966"/>
      <c r="KR39" s="966"/>
      <c r="KS39" s="966"/>
      <c r="KT39" s="966"/>
      <c r="KU39" s="965"/>
      <c r="KV39" s="966"/>
      <c r="KW39" s="973"/>
      <c r="KX39" s="966"/>
      <c r="KY39" s="973"/>
      <c r="KZ39" s="978"/>
      <c r="LA39" s="978"/>
      <c r="LB39" s="966"/>
      <c r="LC39" s="966"/>
      <c r="LD39" s="966"/>
      <c r="LE39" s="966"/>
      <c r="LF39" s="966"/>
      <c r="LG39" s="966"/>
      <c r="LH39" s="965"/>
      <c r="LI39" s="966"/>
      <c r="LJ39" s="973"/>
      <c r="LK39" s="966"/>
      <c r="LL39" s="973"/>
      <c r="LM39" s="978"/>
      <c r="LN39" s="978"/>
      <c r="LO39" s="966"/>
      <c r="LP39" s="966"/>
      <c r="LQ39" s="966"/>
      <c r="LR39" s="966"/>
      <c r="LS39" s="966"/>
      <c r="LT39" s="966"/>
      <c r="LU39" s="965"/>
      <c r="LV39" s="966"/>
      <c r="LW39" s="973"/>
      <c r="LX39" s="966"/>
      <c r="LY39" s="973"/>
      <c r="LZ39" s="978"/>
      <c r="MA39" s="978"/>
      <c r="MB39" s="966"/>
      <c r="MC39" s="966"/>
      <c r="MD39" s="966"/>
      <c r="ME39" s="966"/>
      <c r="MF39" s="966"/>
      <c r="MG39" s="966"/>
    </row>
    <row r="40" spans="1:345" ht="24" customHeight="1">
      <c r="B40" s="205" t="str">
        <f>Language!$E$130&amp;" F"</f>
        <v>Groep F</v>
      </c>
      <c r="C40" s="206"/>
      <c r="D40" s="211"/>
      <c r="E40" s="208"/>
      <c r="F40" s="212"/>
      <c r="G40" s="213"/>
      <c r="I40" s="205" t="str">
        <f t="shared" si="18"/>
        <v>Groep F</v>
      </c>
      <c r="J40" s="211"/>
      <c r="K40" s="211"/>
      <c r="L40" s="208"/>
      <c r="M40" s="236"/>
      <c r="N40" s="237"/>
      <c r="O40" s="209"/>
      <c r="P40" s="220"/>
      <c r="Q40" s="220"/>
      <c r="R40" s="208"/>
      <c r="S40" s="208"/>
      <c r="T40" s="987"/>
      <c r="U40" s="965"/>
      <c r="V40" s="972"/>
      <c r="W40" s="966"/>
      <c r="X40" s="966"/>
      <c r="Y40" s="973"/>
      <c r="Z40" s="974"/>
      <c r="AA40" s="975"/>
      <c r="AB40" s="976"/>
      <c r="AC40" s="977"/>
      <c r="AD40" s="977"/>
      <c r="AE40" s="973"/>
      <c r="AF40" s="973"/>
      <c r="AG40" s="973"/>
      <c r="AH40" s="965"/>
      <c r="AI40" s="972"/>
      <c r="AJ40" s="966"/>
      <c r="AK40" s="966"/>
      <c r="AL40" s="973"/>
      <c r="AM40" s="974"/>
      <c r="AN40" s="975"/>
      <c r="AO40" s="976"/>
      <c r="AP40" s="977"/>
      <c r="AQ40" s="977"/>
      <c r="AR40" s="973"/>
      <c r="AS40" s="973"/>
      <c r="AT40" s="973"/>
      <c r="AU40" s="965"/>
      <c r="AV40" s="972"/>
      <c r="AW40" s="966"/>
      <c r="AX40" s="966"/>
      <c r="AY40" s="973"/>
      <c r="AZ40" s="974"/>
      <c r="BA40" s="975"/>
      <c r="BB40" s="976"/>
      <c r="BC40" s="977"/>
      <c r="BD40" s="977"/>
      <c r="BE40" s="973"/>
      <c r="BF40" s="973"/>
      <c r="BG40" s="973"/>
      <c r="BH40" s="965"/>
      <c r="BI40" s="972"/>
      <c r="BJ40" s="966"/>
      <c r="BK40" s="966"/>
      <c r="BL40" s="973"/>
      <c r="BM40" s="974"/>
      <c r="BN40" s="975"/>
      <c r="BO40" s="976"/>
      <c r="BP40" s="977"/>
      <c r="BQ40" s="977"/>
      <c r="BR40" s="973"/>
      <c r="BS40" s="973"/>
      <c r="BT40" s="973"/>
      <c r="BU40" s="965"/>
      <c r="BV40" s="972"/>
      <c r="BW40" s="966"/>
      <c r="BX40" s="966"/>
      <c r="BY40" s="973"/>
      <c r="BZ40" s="974"/>
      <c r="CA40" s="975"/>
      <c r="CB40" s="976"/>
      <c r="CC40" s="977"/>
      <c r="CD40" s="977"/>
      <c r="CE40" s="973"/>
      <c r="CF40" s="973"/>
      <c r="CG40" s="973"/>
      <c r="CH40" s="965"/>
      <c r="CI40" s="972"/>
      <c r="CJ40" s="966"/>
      <c r="CK40" s="966"/>
      <c r="CL40" s="973"/>
      <c r="CM40" s="974"/>
      <c r="CN40" s="975"/>
      <c r="CO40" s="976"/>
      <c r="CP40" s="977"/>
      <c r="CQ40" s="977"/>
      <c r="CR40" s="973"/>
      <c r="CS40" s="973"/>
      <c r="CT40" s="973"/>
      <c r="CU40" s="965"/>
      <c r="CV40" s="972"/>
      <c r="CW40" s="966"/>
      <c r="CX40" s="966"/>
      <c r="CY40" s="973"/>
      <c r="CZ40" s="974"/>
      <c r="DA40" s="975"/>
      <c r="DB40" s="976"/>
      <c r="DC40" s="977"/>
      <c r="DD40" s="977"/>
      <c r="DE40" s="973"/>
      <c r="DF40" s="973"/>
      <c r="DG40" s="973"/>
      <c r="DH40" s="965"/>
      <c r="DI40" s="972"/>
      <c r="DJ40" s="966"/>
      <c r="DK40" s="966"/>
      <c r="DL40" s="973"/>
      <c r="DM40" s="974"/>
      <c r="DN40" s="975"/>
      <c r="DO40" s="976"/>
      <c r="DP40" s="977"/>
      <c r="DQ40" s="977"/>
      <c r="DR40" s="973"/>
      <c r="DS40" s="973"/>
      <c r="DT40" s="973"/>
      <c r="DU40" s="965"/>
      <c r="DV40" s="972"/>
      <c r="DW40" s="966"/>
      <c r="DX40" s="966"/>
      <c r="DY40" s="973"/>
      <c r="DZ40" s="974"/>
      <c r="EA40" s="975"/>
      <c r="EB40" s="976"/>
      <c r="EC40" s="977"/>
      <c r="ED40" s="977"/>
      <c r="EE40" s="973"/>
      <c r="EF40" s="973"/>
      <c r="EG40" s="973"/>
      <c r="EH40" s="965"/>
      <c r="EI40" s="972"/>
      <c r="EJ40" s="966"/>
      <c r="EK40" s="966"/>
      <c r="EL40" s="973"/>
      <c r="EM40" s="974"/>
      <c r="EN40" s="975"/>
      <c r="EO40" s="976"/>
      <c r="EP40" s="977"/>
      <c r="EQ40" s="977"/>
      <c r="ER40" s="973"/>
      <c r="ES40" s="973"/>
      <c r="ET40" s="973"/>
      <c r="EU40" s="965"/>
      <c r="EV40" s="972"/>
      <c r="EW40" s="966"/>
      <c r="EX40" s="966"/>
      <c r="EY40" s="973"/>
      <c r="EZ40" s="974"/>
      <c r="FA40" s="975"/>
      <c r="FB40" s="976"/>
      <c r="FC40" s="977"/>
      <c r="FD40" s="977"/>
      <c r="FE40" s="973"/>
      <c r="FF40" s="973"/>
      <c r="FG40" s="973"/>
      <c r="FH40" s="965"/>
      <c r="FI40" s="972"/>
      <c r="FJ40" s="966"/>
      <c r="FK40" s="966"/>
      <c r="FL40" s="973"/>
      <c r="FM40" s="974"/>
      <c r="FN40" s="975"/>
      <c r="FO40" s="976"/>
      <c r="FP40" s="977"/>
      <c r="FQ40" s="977"/>
      <c r="FR40" s="973"/>
      <c r="FS40" s="973"/>
      <c r="FT40" s="973"/>
      <c r="FU40" s="965"/>
      <c r="FV40" s="972"/>
      <c r="FW40" s="966"/>
      <c r="FX40" s="966"/>
      <c r="FY40" s="973"/>
      <c r="FZ40" s="974"/>
      <c r="GA40" s="975"/>
      <c r="GB40" s="976"/>
      <c r="GC40" s="977"/>
      <c r="GD40" s="977"/>
      <c r="GE40" s="973"/>
      <c r="GF40" s="973"/>
      <c r="GG40" s="973"/>
      <c r="GH40" s="965"/>
      <c r="GI40" s="972"/>
      <c r="GJ40" s="966"/>
      <c r="GK40" s="966"/>
      <c r="GL40" s="973"/>
      <c r="GM40" s="974"/>
      <c r="GN40" s="975"/>
      <c r="GO40" s="976"/>
      <c r="GP40" s="977"/>
      <c r="GQ40" s="977"/>
      <c r="GR40" s="973"/>
      <c r="GS40" s="973"/>
      <c r="GT40" s="973"/>
      <c r="GU40" s="965"/>
      <c r="GV40" s="972"/>
      <c r="GW40" s="966"/>
      <c r="GX40" s="966"/>
      <c r="GY40" s="973"/>
      <c r="GZ40" s="974"/>
      <c r="HA40" s="975"/>
      <c r="HB40" s="976"/>
      <c r="HC40" s="977"/>
      <c r="HD40" s="977"/>
      <c r="HE40" s="973"/>
      <c r="HF40" s="973"/>
      <c r="HG40" s="973"/>
      <c r="HH40" s="965"/>
      <c r="HI40" s="972"/>
      <c r="HJ40" s="966"/>
      <c r="HK40" s="966"/>
      <c r="HL40" s="973"/>
      <c r="HM40" s="974"/>
      <c r="HN40" s="975"/>
      <c r="HO40" s="976"/>
      <c r="HP40" s="977"/>
      <c r="HQ40" s="977"/>
      <c r="HR40" s="973"/>
      <c r="HS40" s="973"/>
      <c r="HT40" s="973"/>
      <c r="HU40" s="965"/>
      <c r="HV40" s="972"/>
      <c r="HW40" s="966"/>
      <c r="HX40" s="966"/>
      <c r="HY40" s="973"/>
      <c r="HZ40" s="974"/>
      <c r="IA40" s="975"/>
      <c r="IB40" s="976"/>
      <c r="IC40" s="977"/>
      <c r="ID40" s="977"/>
      <c r="IE40" s="973"/>
      <c r="IF40" s="973"/>
      <c r="IG40" s="973"/>
      <c r="IH40" s="965"/>
      <c r="II40" s="972"/>
      <c r="IJ40" s="966"/>
      <c r="IK40" s="966"/>
      <c r="IL40" s="973"/>
      <c r="IM40" s="974"/>
      <c r="IN40" s="975"/>
      <c r="IO40" s="976"/>
      <c r="IP40" s="977"/>
      <c r="IQ40" s="977"/>
      <c r="IR40" s="973"/>
      <c r="IS40" s="973"/>
      <c r="IT40" s="973"/>
      <c r="IU40" s="965"/>
      <c r="IV40" s="972"/>
      <c r="IW40" s="966"/>
      <c r="IX40" s="966"/>
      <c r="IY40" s="973"/>
      <c r="IZ40" s="974"/>
      <c r="JA40" s="975"/>
      <c r="JB40" s="976"/>
      <c r="JC40" s="977"/>
      <c r="JD40" s="977"/>
      <c r="JE40" s="973"/>
      <c r="JF40" s="973"/>
      <c r="JG40" s="973"/>
      <c r="JH40" s="965"/>
      <c r="JI40" s="972"/>
      <c r="JJ40" s="966"/>
      <c r="JK40" s="966"/>
      <c r="JL40" s="973"/>
      <c r="JM40" s="974"/>
      <c r="JN40" s="975"/>
      <c r="JO40" s="976"/>
      <c r="JP40" s="977"/>
      <c r="JQ40" s="977"/>
      <c r="JR40" s="973"/>
      <c r="JS40" s="973"/>
      <c r="JT40" s="973"/>
      <c r="JU40" s="965"/>
      <c r="JV40" s="972"/>
      <c r="JW40" s="966"/>
      <c r="JX40" s="966"/>
      <c r="JY40" s="973"/>
      <c r="JZ40" s="974"/>
      <c r="KA40" s="975"/>
      <c r="KB40" s="976"/>
      <c r="KC40" s="977"/>
      <c r="KD40" s="977"/>
      <c r="KE40" s="973"/>
      <c r="KF40" s="973"/>
      <c r="KG40" s="973"/>
      <c r="KH40" s="965"/>
      <c r="KI40" s="972"/>
      <c r="KJ40" s="966"/>
      <c r="KK40" s="966"/>
      <c r="KL40" s="973"/>
      <c r="KM40" s="974"/>
      <c r="KN40" s="975"/>
      <c r="KO40" s="976"/>
      <c r="KP40" s="977"/>
      <c r="KQ40" s="977"/>
      <c r="KR40" s="973"/>
      <c r="KS40" s="973"/>
      <c r="KT40" s="973"/>
      <c r="KU40" s="965"/>
      <c r="KV40" s="972"/>
      <c r="KW40" s="966"/>
      <c r="KX40" s="966"/>
      <c r="KY40" s="973"/>
      <c r="KZ40" s="974"/>
      <c r="LA40" s="975"/>
      <c r="LB40" s="976"/>
      <c r="LC40" s="977"/>
      <c r="LD40" s="977"/>
      <c r="LE40" s="973"/>
      <c r="LF40" s="973"/>
      <c r="LG40" s="973"/>
      <c r="LH40" s="965"/>
      <c r="LI40" s="972"/>
      <c r="LJ40" s="966"/>
      <c r="LK40" s="966"/>
      <c r="LL40" s="973"/>
      <c r="LM40" s="974"/>
      <c r="LN40" s="975"/>
      <c r="LO40" s="976"/>
      <c r="LP40" s="977"/>
      <c r="LQ40" s="977"/>
      <c r="LR40" s="973"/>
      <c r="LS40" s="973"/>
      <c r="LT40" s="973"/>
      <c r="LU40" s="965"/>
      <c r="LV40" s="972"/>
      <c r="LW40" s="966"/>
      <c r="LX40" s="966"/>
      <c r="LY40" s="973"/>
      <c r="LZ40" s="974"/>
      <c r="MA40" s="975"/>
      <c r="MB40" s="976"/>
      <c r="MC40" s="977"/>
      <c r="MD40" s="977"/>
      <c r="ME40" s="973"/>
      <c r="MF40" s="973"/>
      <c r="MG40" s="973"/>
    </row>
    <row r="41" spans="1:345">
      <c r="B41" s="196">
        <f>INDEX(Groups!$C$7:$C$65,MATCH(C41,Groups!$D$7:$D$65,0))</f>
        <v>7</v>
      </c>
      <c r="C41" s="197" t="str">
        <f>CalcF!$P$22</f>
        <v>Nederland</v>
      </c>
      <c r="D41" s="198">
        <f>INDEX(Groups!$C$7:$C$65,MATCH(E41,Groups!$D$7:$D$65,0))</f>
        <v>18</v>
      </c>
      <c r="E41" s="197" t="str">
        <f>CalcF!$Q$22</f>
        <v>Japan</v>
      </c>
      <c r="F41" s="199" t="str">
        <f>CalcF!$R$22</f>
        <v/>
      </c>
      <c r="G41" s="200" t="str">
        <f>CalcF!$S$22</f>
        <v/>
      </c>
      <c r="I41" s="196">
        <f t="shared" si="18"/>
        <v>7</v>
      </c>
      <c r="J41" s="197" t="str">
        <f t="shared" ref="J41:J46" si="23">$C41</f>
        <v>Nederland</v>
      </c>
      <c r="K41" s="198">
        <f t="shared" si="1"/>
        <v>18</v>
      </c>
      <c r="L41" s="197" t="str">
        <f t="shared" ref="L41:L46" si="24">$E41</f>
        <v>Japan</v>
      </c>
      <c r="M41" s="232"/>
      <c r="N41" s="232"/>
      <c r="O41" s="227"/>
      <c r="P41" s="198" t="str">
        <f t="shared" ref="P41:P46" si="25">IF(($F41&lt;&gt;"")*($G41&lt;&gt;"")*(M41&lt;&gt;"")*(N41&lt;&gt;""),($F41&gt;$G41)*(M41&gt;N41)+($F41=$G41)*(M41=N41)+($F41&lt;$G41)*(M41&lt;N41),"")</f>
        <v/>
      </c>
      <c r="Q41" s="198" t="str">
        <f>IF((P41&lt;&gt;""),IF(OR($F41&lt;&gt;$G41,PrSettings!$M$4="●"),(($F41-$G41)=(M41-N41))*1,0),"")</f>
        <v/>
      </c>
      <c r="R41" s="198" t="str">
        <f t="shared" ref="R41:R46" si="26">IF((P41&lt;&gt;""),($F41=M41)*($G41=N41),"")</f>
        <v/>
      </c>
      <c r="S41" s="198" t="str">
        <f>IF(P41&lt;&gt;"",IF(ABS($F41-$G41)&gt;=PrSettings!$M$7,(ABS($F41-$G41-M41+N41)&lt;=1)*1,IF(AND(P41,$F41=$G41,$F41&gt;=PrSettings!$M$6),(ABS(M41-$F41)&lt;=1)*1,IF(AND(P41,$F41+$G41&gt;=PrSettings!$M$8),(ABS(M41-$F41)+ABS(N41-$G41)&lt;=1)*1,""))),"")</f>
        <v/>
      </c>
      <c r="T41" s="988"/>
      <c r="U41" s="965"/>
      <c r="V41" s="966"/>
      <c r="W41" s="973"/>
      <c r="X41" s="966"/>
      <c r="Y41" s="973"/>
      <c r="Z41" s="978"/>
      <c r="AA41" s="978"/>
      <c r="AB41" s="966"/>
      <c r="AC41" s="966"/>
      <c r="AD41" s="966"/>
      <c r="AE41" s="966"/>
      <c r="AF41" s="966"/>
      <c r="AG41" s="966"/>
      <c r="AH41" s="965"/>
      <c r="AI41" s="966"/>
      <c r="AJ41" s="973"/>
      <c r="AK41" s="966"/>
      <c r="AL41" s="973"/>
      <c r="AM41" s="978"/>
      <c r="AN41" s="978"/>
      <c r="AO41" s="966"/>
      <c r="AP41" s="966"/>
      <c r="AQ41" s="966"/>
      <c r="AR41" s="966"/>
      <c r="AS41" s="966"/>
      <c r="AT41" s="966"/>
      <c r="AU41" s="965"/>
      <c r="AV41" s="966"/>
      <c r="AW41" s="973"/>
      <c r="AX41" s="966"/>
      <c r="AY41" s="973"/>
      <c r="AZ41" s="978"/>
      <c r="BA41" s="978"/>
      <c r="BB41" s="966"/>
      <c r="BC41" s="966"/>
      <c r="BD41" s="966"/>
      <c r="BE41" s="966"/>
      <c r="BF41" s="966"/>
      <c r="BG41" s="966"/>
      <c r="BH41" s="965"/>
      <c r="BI41" s="966"/>
      <c r="BJ41" s="973"/>
      <c r="BK41" s="966"/>
      <c r="BL41" s="973"/>
      <c r="BM41" s="978"/>
      <c r="BN41" s="978"/>
      <c r="BO41" s="966"/>
      <c r="BP41" s="966"/>
      <c r="BQ41" s="966"/>
      <c r="BR41" s="966"/>
      <c r="BS41" s="966"/>
      <c r="BT41" s="966"/>
      <c r="BU41" s="965"/>
      <c r="BV41" s="966"/>
      <c r="BW41" s="973"/>
      <c r="BX41" s="966"/>
      <c r="BY41" s="973"/>
      <c r="BZ41" s="978"/>
      <c r="CA41" s="978"/>
      <c r="CB41" s="966"/>
      <c r="CC41" s="966"/>
      <c r="CD41" s="966"/>
      <c r="CE41" s="966"/>
      <c r="CF41" s="966"/>
      <c r="CG41" s="966"/>
      <c r="CH41" s="965"/>
      <c r="CI41" s="966"/>
      <c r="CJ41" s="973"/>
      <c r="CK41" s="966"/>
      <c r="CL41" s="973"/>
      <c r="CM41" s="978"/>
      <c r="CN41" s="978"/>
      <c r="CO41" s="966"/>
      <c r="CP41" s="966"/>
      <c r="CQ41" s="966"/>
      <c r="CR41" s="966"/>
      <c r="CS41" s="966"/>
      <c r="CT41" s="966"/>
      <c r="CU41" s="965"/>
      <c r="CV41" s="966"/>
      <c r="CW41" s="973"/>
      <c r="CX41" s="966"/>
      <c r="CY41" s="973"/>
      <c r="CZ41" s="978"/>
      <c r="DA41" s="978"/>
      <c r="DB41" s="966"/>
      <c r="DC41" s="966"/>
      <c r="DD41" s="966"/>
      <c r="DE41" s="966"/>
      <c r="DF41" s="966"/>
      <c r="DG41" s="966"/>
      <c r="DH41" s="965"/>
      <c r="DI41" s="966"/>
      <c r="DJ41" s="973"/>
      <c r="DK41" s="966"/>
      <c r="DL41" s="973"/>
      <c r="DM41" s="978"/>
      <c r="DN41" s="978"/>
      <c r="DO41" s="966"/>
      <c r="DP41" s="966"/>
      <c r="DQ41" s="966"/>
      <c r="DR41" s="966"/>
      <c r="DS41" s="966"/>
      <c r="DT41" s="966"/>
      <c r="DU41" s="965"/>
      <c r="DV41" s="966"/>
      <c r="DW41" s="973"/>
      <c r="DX41" s="966"/>
      <c r="DY41" s="973"/>
      <c r="DZ41" s="978"/>
      <c r="EA41" s="978"/>
      <c r="EB41" s="966"/>
      <c r="EC41" s="966"/>
      <c r="ED41" s="966"/>
      <c r="EE41" s="966"/>
      <c r="EF41" s="966"/>
      <c r="EG41" s="966"/>
      <c r="EH41" s="965"/>
      <c r="EI41" s="966"/>
      <c r="EJ41" s="973"/>
      <c r="EK41" s="966"/>
      <c r="EL41" s="973"/>
      <c r="EM41" s="978"/>
      <c r="EN41" s="978"/>
      <c r="EO41" s="966"/>
      <c r="EP41" s="966"/>
      <c r="EQ41" s="966"/>
      <c r="ER41" s="966"/>
      <c r="ES41" s="966"/>
      <c r="ET41" s="966"/>
      <c r="EU41" s="965"/>
      <c r="EV41" s="966"/>
      <c r="EW41" s="973"/>
      <c r="EX41" s="966"/>
      <c r="EY41" s="973"/>
      <c r="EZ41" s="978"/>
      <c r="FA41" s="978"/>
      <c r="FB41" s="966"/>
      <c r="FC41" s="966"/>
      <c r="FD41" s="966"/>
      <c r="FE41" s="966"/>
      <c r="FF41" s="966"/>
      <c r="FG41" s="966"/>
      <c r="FH41" s="965"/>
      <c r="FI41" s="966"/>
      <c r="FJ41" s="973"/>
      <c r="FK41" s="966"/>
      <c r="FL41" s="973"/>
      <c r="FM41" s="978"/>
      <c r="FN41" s="978"/>
      <c r="FO41" s="966"/>
      <c r="FP41" s="966"/>
      <c r="FQ41" s="966"/>
      <c r="FR41" s="966"/>
      <c r="FS41" s="966"/>
      <c r="FT41" s="966"/>
      <c r="FU41" s="965"/>
      <c r="FV41" s="966"/>
      <c r="FW41" s="973"/>
      <c r="FX41" s="966"/>
      <c r="FY41" s="973"/>
      <c r="FZ41" s="978"/>
      <c r="GA41" s="978"/>
      <c r="GB41" s="966"/>
      <c r="GC41" s="966"/>
      <c r="GD41" s="966"/>
      <c r="GE41" s="966"/>
      <c r="GF41" s="966"/>
      <c r="GG41" s="966"/>
      <c r="GH41" s="965"/>
      <c r="GI41" s="966"/>
      <c r="GJ41" s="973"/>
      <c r="GK41" s="966"/>
      <c r="GL41" s="973"/>
      <c r="GM41" s="978"/>
      <c r="GN41" s="978"/>
      <c r="GO41" s="966"/>
      <c r="GP41" s="966"/>
      <c r="GQ41" s="966"/>
      <c r="GR41" s="966"/>
      <c r="GS41" s="966"/>
      <c r="GT41" s="966"/>
      <c r="GU41" s="965"/>
      <c r="GV41" s="966"/>
      <c r="GW41" s="973"/>
      <c r="GX41" s="966"/>
      <c r="GY41" s="973"/>
      <c r="GZ41" s="978"/>
      <c r="HA41" s="978"/>
      <c r="HB41" s="966"/>
      <c r="HC41" s="966"/>
      <c r="HD41" s="966"/>
      <c r="HE41" s="966"/>
      <c r="HF41" s="966"/>
      <c r="HG41" s="966"/>
      <c r="HH41" s="965"/>
      <c r="HI41" s="966"/>
      <c r="HJ41" s="973"/>
      <c r="HK41" s="966"/>
      <c r="HL41" s="973"/>
      <c r="HM41" s="978"/>
      <c r="HN41" s="978"/>
      <c r="HO41" s="966"/>
      <c r="HP41" s="966"/>
      <c r="HQ41" s="966"/>
      <c r="HR41" s="966"/>
      <c r="HS41" s="966"/>
      <c r="HT41" s="966"/>
      <c r="HU41" s="965"/>
      <c r="HV41" s="966"/>
      <c r="HW41" s="973"/>
      <c r="HX41" s="966"/>
      <c r="HY41" s="973"/>
      <c r="HZ41" s="978"/>
      <c r="IA41" s="978"/>
      <c r="IB41" s="966"/>
      <c r="IC41" s="966"/>
      <c r="ID41" s="966"/>
      <c r="IE41" s="966"/>
      <c r="IF41" s="966"/>
      <c r="IG41" s="966"/>
      <c r="IH41" s="965"/>
      <c r="II41" s="966"/>
      <c r="IJ41" s="973"/>
      <c r="IK41" s="966"/>
      <c r="IL41" s="973"/>
      <c r="IM41" s="978"/>
      <c r="IN41" s="978"/>
      <c r="IO41" s="966"/>
      <c r="IP41" s="966"/>
      <c r="IQ41" s="966"/>
      <c r="IR41" s="966"/>
      <c r="IS41" s="966"/>
      <c r="IT41" s="966"/>
      <c r="IU41" s="965"/>
      <c r="IV41" s="966"/>
      <c r="IW41" s="973"/>
      <c r="IX41" s="966"/>
      <c r="IY41" s="973"/>
      <c r="IZ41" s="978"/>
      <c r="JA41" s="978"/>
      <c r="JB41" s="966"/>
      <c r="JC41" s="966"/>
      <c r="JD41" s="966"/>
      <c r="JE41" s="966"/>
      <c r="JF41" s="966"/>
      <c r="JG41" s="966"/>
      <c r="JH41" s="965"/>
      <c r="JI41" s="966"/>
      <c r="JJ41" s="973"/>
      <c r="JK41" s="966"/>
      <c r="JL41" s="973"/>
      <c r="JM41" s="978"/>
      <c r="JN41" s="978"/>
      <c r="JO41" s="966"/>
      <c r="JP41" s="966"/>
      <c r="JQ41" s="966"/>
      <c r="JR41" s="966"/>
      <c r="JS41" s="966"/>
      <c r="JT41" s="966"/>
      <c r="JU41" s="965"/>
      <c r="JV41" s="966"/>
      <c r="JW41" s="973"/>
      <c r="JX41" s="966"/>
      <c r="JY41" s="973"/>
      <c r="JZ41" s="978"/>
      <c r="KA41" s="978"/>
      <c r="KB41" s="966"/>
      <c r="KC41" s="966"/>
      <c r="KD41" s="966"/>
      <c r="KE41" s="966"/>
      <c r="KF41" s="966"/>
      <c r="KG41" s="966"/>
      <c r="KH41" s="965"/>
      <c r="KI41" s="966"/>
      <c r="KJ41" s="973"/>
      <c r="KK41" s="966"/>
      <c r="KL41" s="973"/>
      <c r="KM41" s="978"/>
      <c r="KN41" s="978"/>
      <c r="KO41" s="966"/>
      <c r="KP41" s="966"/>
      <c r="KQ41" s="966"/>
      <c r="KR41" s="966"/>
      <c r="KS41" s="966"/>
      <c r="KT41" s="966"/>
      <c r="KU41" s="965"/>
      <c r="KV41" s="966"/>
      <c r="KW41" s="973"/>
      <c r="KX41" s="966"/>
      <c r="KY41" s="973"/>
      <c r="KZ41" s="978"/>
      <c r="LA41" s="978"/>
      <c r="LB41" s="966"/>
      <c r="LC41" s="966"/>
      <c r="LD41" s="966"/>
      <c r="LE41" s="966"/>
      <c r="LF41" s="966"/>
      <c r="LG41" s="966"/>
      <c r="LH41" s="965"/>
      <c r="LI41" s="966"/>
      <c r="LJ41" s="973"/>
      <c r="LK41" s="966"/>
      <c r="LL41" s="973"/>
      <c r="LM41" s="978"/>
      <c r="LN41" s="978"/>
      <c r="LO41" s="966"/>
      <c r="LP41" s="966"/>
      <c r="LQ41" s="966"/>
      <c r="LR41" s="966"/>
      <c r="LS41" s="966"/>
      <c r="LT41" s="966"/>
      <c r="LU41" s="965"/>
      <c r="LV41" s="966"/>
      <c r="LW41" s="973"/>
      <c r="LX41" s="966"/>
      <c r="LY41" s="973"/>
      <c r="LZ41" s="978"/>
      <c r="MA41" s="978"/>
      <c r="MB41" s="966"/>
      <c r="MC41" s="966"/>
      <c r="MD41" s="966"/>
      <c r="ME41" s="966"/>
      <c r="MF41" s="966"/>
      <c r="MG41" s="966"/>
    </row>
    <row r="42" spans="1:345">
      <c r="B42" s="196">
        <f>INDEX(Groups!$C$7:$C$65,MATCH(C42,Groups!$D$7:$D$65,0))</f>
        <v>38</v>
      </c>
      <c r="C42" s="197" t="str">
        <f>CalcF!$P$23</f>
        <v>Zweden</v>
      </c>
      <c r="D42" s="198">
        <f>INDEX(Groups!$C$7:$C$65,MATCH(E42,Groups!$D$7:$D$65,0))</f>
        <v>44</v>
      </c>
      <c r="E42" s="197" t="str">
        <f>CalcF!$Q$23</f>
        <v>Tunesië</v>
      </c>
      <c r="F42" s="725" t="str">
        <f>CalcF!$R$23</f>
        <v/>
      </c>
      <c r="G42" s="200" t="str">
        <f>CalcF!$S$23</f>
        <v/>
      </c>
      <c r="I42" s="196">
        <f t="shared" si="18"/>
        <v>38</v>
      </c>
      <c r="J42" s="197" t="str">
        <f t="shared" si="23"/>
        <v>Zweden</v>
      </c>
      <c r="K42" s="198">
        <f t="shared" si="1"/>
        <v>44</v>
      </c>
      <c r="L42" s="197" t="str">
        <f t="shared" si="24"/>
        <v>Tunesië</v>
      </c>
      <c r="M42" s="232"/>
      <c r="N42" s="232"/>
      <c r="O42" s="228"/>
      <c r="P42" s="198" t="str">
        <f t="shared" si="25"/>
        <v/>
      </c>
      <c r="Q42" s="198" t="str">
        <f>IF((P42&lt;&gt;""),IF(OR($F42&lt;&gt;$G42,PrSettings!$M$4="●"),(($F42-$G42)=(M42-N42))*1,0),"")</f>
        <v/>
      </c>
      <c r="R42" s="198" t="str">
        <f t="shared" si="26"/>
        <v/>
      </c>
      <c r="S42" s="198" t="str">
        <f>IF(P42&lt;&gt;"",IF(ABS($F42-$G42)&gt;=PrSettings!$M$7,(ABS($F42-$G42-M42+N42)&lt;=1)*1,IF(AND(P42,$F42=$G42,$F42&gt;=PrSettings!$M$6),(ABS(M42-$F42)&lt;=1)*1,IF(AND(P42,$F42+$G42&gt;=PrSettings!$M$8),(ABS(M42-$F42)+ABS(N42-$G42)&lt;=1)*1,""))),"")</f>
        <v/>
      </c>
      <c r="T42" s="989"/>
      <c r="U42" s="965"/>
      <c r="V42" s="966"/>
      <c r="W42" s="973"/>
      <c r="X42" s="966"/>
      <c r="Y42" s="973"/>
      <c r="Z42" s="978"/>
      <c r="AA42" s="978"/>
      <c r="AB42" s="966"/>
      <c r="AC42" s="966"/>
      <c r="AD42" s="966"/>
      <c r="AE42" s="966"/>
      <c r="AF42" s="966"/>
      <c r="AG42" s="966"/>
      <c r="AH42" s="965"/>
      <c r="AI42" s="966"/>
      <c r="AJ42" s="973"/>
      <c r="AK42" s="966"/>
      <c r="AL42" s="973"/>
      <c r="AM42" s="978"/>
      <c r="AN42" s="978"/>
      <c r="AO42" s="966"/>
      <c r="AP42" s="966"/>
      <c r="AQ42" s="966"/>
      <c r="AR42" s="966"/>
      <c r="AS42" s="966"/>
      <c r="AT42" s="966"/>
      <c r="AU42" s="965"/>
      <c r="AV42" s="966"/>
      <c r="AW42" s="973"/>
      <c r="AX42" s="966"/>
      <c r="AY42" s="973"/>
      <c r="AZ42" s="978"/>
      <c r="BA42" s="978"/>
      <c r="BB42" s="966"/>
      <c r="BC42" s="966"/>
      <c r="BD42" s="966"/>
      <c r="BE42" s="966"/>
      <c r="BF42" s="966"/>
      <c r="BG42" s="966"/>
      <c r="BH42" s="965"/>
      <c r="BI42" s="966"/>
      <c r="BJ42" s="973"/>
      <c r="BK42" s="966"/>
      <c r="BL42" s="973"/>
      <c r="BM42" s="978"/>
      <c r="BN42" s="978"/>
      <c r="BO42" s="966"/>
      <c r="BP42" s="966"/>
      <c r="BQ42" s="966"/>
      <c r="BR42" s="966"/>
      <c r="BS42" s="966"/>
      <c r="BT42" s="966"/>
      <c r="BU42" s="965"/>
      <c r="BV42" s="966"/>
      <c r="BW42" s="973"/>
      <c r="BX42" s="966"/>
      <c r="BY42" s="973"/>
      <c r="BZ42" s="978"/>
      <c r="CA42" s="978"/>
      <c r="CB42" s="966"/>
      <c r="CC42" s="966"/>
      <c r="CD42" s="966"/>
      <c r="CE42" s="966"/>
      <c r="CF42" s="966"/>
      <c r="CG42" s="966"/>
      <c r="CH42" s="965"/>
      <c r="CI42" s="966"/>
      <c r="CJ42" s="973"/>
      <c r="CK42" s="966"/>
      <c r="CL42" s="973"/>
      <c r="CM42" s="978"/>
      <c r="CN42" s="978"/>
      <c r="CO42" s="966"/>
      <c r="CP42" s="966"/>
      <c r="CQ42" s="966"/>
      <c r="CR42" s="966"/>
      <c r="CS42" s="966"/>
      <c r="CT42" s="966"/>
      <c r="CU42" s="965"/>
      <c r="CV42" s="966"/>
      <c r="CW42" s="973"/>
      <c r="CX42" s="966"/>
      <c r="CY42" s="973"/>
      <c r="CZ42" s="978"/>
      <c r="DA42" s="978"/>
      <c r="DB42" s="966"/>
      <c r="DC42" s="966"/>
      <c r="DD42" s="966"/>
      <c r="DE42" s="966"/>
      <c r="DF42" s="966"/>
      <c r="DG42" s="966"/>
      <c r="DH42" s="965"/>
      <c r="DI42" s="966"/>
      <c r="DJ42" s="973"/>
      <c r="DK42" s="966"/>
      <c r="DL42" s="973"/>
      <c r="DM42" s="978"/>
      <c r="DN42" s="978"/>
      <c r="DO42" s="966"/>
      <c r="DP42" s="966"/>
      <c r="DQ42" s="966"/>
      <c r="DR42" s="966"/>
      <c r="DS42" s="966"/>
      <c r="DT42" s="966"/>
      <c r="DU42" s="965"/>
      <c r="DV42" s="966"/>
      <c r="DW42" s="973"/>
      <c r="DX42" s="966"/>
      <c r="DY42" s="973"/>
      <c r="DZ42" s="978"/>
      <c r="EA42" s="978"/>
      <c r="EB42" s="966"/>
      <c r="EC42" s="966"/>
      <c r="ED42" s="966"/>
      <c r="EE42" s="966"/>
      <c r="EF42" s="966"/>
      <c r="EG42" s="966"/>
      <c r="EH42" s="965"/>
      <c r="EI42" s="966"/>
      <c r="EJ42" s="973"/>
      <c r="EK42" s="966"/>
      <c r="EL42" s="973"/>
      <c r="EM42" s="978"/>
      <c r="EN42" s="978"/>
      <c r="EO42" s="966"/>
      <c r="EP42" s="966"/>
      <c r="EQ42" s="966"/>
      <c r="ER42" s="966"/>
      <c r="ES42" s="966"/>
      <c r="ET42" s="966"/>
      <c r="EU42" s="965"/>
      <c r="EV42" s="966"/>
      <c r="EW42" s="973"/>
      <c r="EX42" s="966"/>
      <c r="EY42" s="973"/>
      <c r="EZ42" s="978"/>
      <c r="FA42" s="978"/>
      <c r="FB42" s="966"/>
      <c r="FC42" s="966"/>
      <c r="FD42" s="966"/>
      <c r="FE42" s="966"/>
      <c r="FF42" s="966"/>
      <c r="FG42" s="966"/>
      <c r="FH42" s="965"/>
      <c r="FI42" s="966"/>
      <c r="FJ42" s="973"/>
      <c r="FK42" s="966"/>
      <c r="FL42" s="973"/>
      <c r="FM42" s="978"/>
      <c r="FN42" s="978"/>
      <c r="FO42" s="966"/>
      <c r="FP42" s="966"/>
      <c r="FQ42" s="966"/>
      <c r="FR42" s="966"/>
      <c r="FS42" s="966"/>
      <c r="FT42" s="966"/>
      <c r="FU42" s="965"/>
      <c r="FV42" s="966"/>
      <c r="FW42" s="973"/>
      <c r="FX42" s="966"/>
      <c r="FY42" s="973"/>
      <c r="FZ42" s="978"/>
      <c r="GA42" s="978"/>
      <c r="GB42" s="966"/>
      <c r="GC42" s="966"/>
      <c r="GD42" s="966"/>
      <c r="GE42" s="966"/>
      <c r="GF42" s="966"/>
      <c r="GG42" s="966"/>
      <c r="GH42" s="965"/>
      <c r="GI42" s="966"/>
      <c r="GJ42" s="973"/>
      <c r="GK42" s="966"/>
      <c r="GL42" s="973"/>
      <c r="GM42" s="978"/>
      <c r="GN42" s="978"/>
      <c r="GO42" s="966"/>
      <c r="GP42" s="966"/>
      <c r="GQ42" s="966"/>
      <c r="GR42" s="966"/>
      <c r="GS42" s="966"/>
      <c r="GT42" s="966"/>
      <c r="GU42" s="965"/>
      <c r="GV42" s="966"/>
      <c r="GW42" s="973"/>
      <c r="GX42" s="966"/>
      <c r="GY42" s="973"/>
      <c r="GZ42" s="978"/>
      <c r="HA42" s="978"/>
      <c r="HB42" s="966"/>
      <c r="HC42" s="966"/>
      <c r="HD42" s="966"/>
      <c r="HE42" s="966"/>
      <c r="HF42" s="966"/>
      <c r="HG42" s="966"/>
      <c r="HH42" s="965"/>
      <c r="HI42" s="966"/>
      <c r="HJ42" s="973"/>
      <c r="HK42" s="966"/>
      <c r="HL42" s="973"/>
      <c r="HM42" s="978"/>
      <c r="HN42" s="978"/>
      <c r="HO42" s="966"/>
      <c r="HP42" s="966"/>
      <c r="HQ42" s="966"/>
      <c r="HR42" s="966"/>
      <c r="HS42" s="966"/>
      <c r="HT42" s="966"/>
      <c r="HU42" s="965"/>
      <c r="HV42" s="966"/>
      <c r="HW42" s="973"/>
      <c r="HX42" s="966"/>
      <c r="HY42" s="973"/>
      <c r="HZ42" s="978"/>
      <c r="IA42" s="978"/>
      <c r="IB42" s="966"/>
      <c r="IC42" s="966"/>
      <c r="ID42" s="966"/>
      <c r="IE42" s="966"/>
      <c r="IF42" s="966"/>
      <c r="IG42" s="966"/>
      <c r="IH42" s="965"/>
      <c r="II42" s="966"/>
      <c r="IJ42" s="973"/>
      <c r="IK42" s="966"/>
      <c r="IL42" s="973"/>
      <c r="IM42" s="978"/>
      <c r="IN42" s="978"/>
      <c r="IO42" s="966"/>
      <c r="IP42" s="966"/>
      <c r="IQ42" s="966"/>
      <c r="IR42" s="966"/>
      <c r="IS42" s="966"/>
      <c r="IT42" s="966"/>
      <c r="IU42" s="965"/>
      <c r="IV42" s="966"/>
      <c r="IW42" s="973"/>
      <c r="IX42" s="966"/>
      <c r="IY42" s="973"/>
      <c r="IZ42" s="978"/>
      <c r="JA42" s="978"/>
      <c r="JB42" s="966"/>
      <c r="JC42" s="966"/>
      <c r="JD42" s="966"/>
      <c r="JE42" s="966"/>
      <c r="JF42" s="966"/>
      <c r="JG42" s="966"/>
      <c r="JH42" s="965"/>
      <c r="JI42" s="966"/>
      <c r="JJ42" s="973"/>
      <c r="JK42" s="966"/>
      <c r="JL42" s="973"/>
      <c r="JM42" s="978"/>
      <c r="JN42" s="978"/>
      <c r="JO42" s="966"/>
      <c r="JP42" s="966"/>
      <c r="JQ42" s="966"/>
      <c r="JR42" s="966"/>
      <c r="JS42" s="966"/>
      <c r="JT42" s="966"/>
      <c r="JU42" s="965"/>
      <c r="JV42" s="966"/>
      <c r="JW42" s="973"/>
      <c r="JX42" s="966"/>
      <c r="JY42" s="973"/>
      <c r="JZ42" s="978"/>
      <c r="KA42" s="978"/>
      <c r="KB42" s="966"/>
      <c r="KC42" s="966"/>
      <c r="KD42" s="966"/>
      <c r="KE42" s="966"/>
      <c r="KF42" s="966"/>
      <c r="KG42" s="966"/>
      <c r="KH42" s="965"/>
      <c r="KI42" s="966"/>
      <c r="KJ42" s="973"/>
      <c r="KK42" s="966"/>
      <c r="KL42" s="973"/>
      <c r="KM42" s="978"/>
      <c r="KN42" s="978"/>
      <c r="KO42" s="966"/>
      <c r="KP42" s="966"/>
      <c r="KQ42" s="966"/>
      <c r="KR42" s="966"/>
      <c r="KS42" s="966"/>
      <c r="KT42" s="966"/>
      <c r="KU42" s="965"/>
      <c r="KV42" s="966"/>
      <c r="KW42" s="973"/>
      <c r="KX42" s="966"/>
      <c r="KY42" s="973"/>
      <c r="KZ42" s="978"/>
      <c r="LA42" s="978"/>
      <c r="LB42" s="966"/>
      <c r="LC42" s="966"/>
      <c r="LD42" s="966"/>
      <c r="LE42" s="966"/>
      <c r="LF42" s="966"/>
      <c r="LG42" s="966"/>
      <c r="LH42" s="965"/>
      <c r="LI42" s="966"/>
      <c r="LJ42" s="973"/>
      <c r="LK42" s="966"/>
      <c r="LL42" s="973"/>
      <c r="LM42" s="978"/>
      <c r="LN42" s="978"/>
      <c r="LO42" s="966"/>
      <c r="LP42" s="966"/>
      <c r="LQ42" s="966"/>
      <c r="LR42" s="966"/>
      <c r="LS42" s="966"/>
      <c r="LT42" s="966"/>
      <c r="LU42" s="965"/>
      <c r="LV42" s="966"/>
      <c r="LW42" s="973"/>
      <c r="LX42" s="966"/>
      <c r="LY42" s="973"/>
      <c r="LZ42" s="978"/>
      <c r="MA42" s="978"/>
      <c r="MB42" s="966"/>
      <c r="MC42" s="966"/>
      <c r="MD42" s="966"/>
      <c r="ME42" s="966"/>
      <c r="MF42" s="966"/>
      <c r="MG42" s="966"/>
    </row>
    <row r="43" spans="1:345">
      <c r="B43" s="196">
        <f>INDEX(Groups!$C$7:$C$65,MATCH(C43,Groups!$D$7:$D$65,0))</f>
        <v>7</v>
      </c>
      <c r="C43" s="197" t="str">
        <f>CalcF!$P$24</f>
        <v>Nederland</v>
      </c>
      <c r="D43" s="198">
        <f>INDEX(Groups!$C$7:$C$65,MATCH(E43,Groups!$D$7:$D$65,0))</f>
        <v>38</v>
      </c>
      <c r="E43" s="197" t="str">
        <f>CalcF!$Q$24</f>
        <v>Zweden</v>
      </c>
      <c r="F43" s="199" t="str">
        <f>CalcF!$R$24</f>
        <v/>
      </c>
      <c r="G43" s="200" t="str">
        <f>CalcF!$S$24</f>
        <v/>
      </c>
      <c r="I43" s="196">
        <f t="shared" si="18"/>
        <v>7</v>
      </c>
      <c r="J43" s="197" t="str">
        <f t="shared" si="23"/>
        <v>Nederland</v>
      </c>
      <c r="K43" s="198">
        <f t="shared" si="1"/>
        <v>38</v>
      </c>
      <c r="L43" s="197" t="str">
        <f t="shared" si="24"/>
        <v>Zweden</v>
      </c>
      <c r="M43" s="232"/>
      <c r="N43" s="232"/>
      <c r="O43" s="228"/>
      <c r="P43" s="198" t="str">
        <f t="shared" si="25"/>
        <v/>
      </c>
      <c r="Q43" s="198" t="str">
        <f>IF((P43&lt;&gt;""),IF(OR($F43&lt;&gt;$G43,PrSettings!$M$4="●"),(($F43-$G43)=(M43-N43))*1,0),"")</f>
        <v/>
      </c>
      <c r="R43" s="198" t="str">
        <f t="shared" si="26"/>
        <v/>
      </c>
      <c r="S43" s="198" t="str">
        <f>IF(P43&lt;&gt;"",IF(ABS($F43-$G43)&gt;=PrSettings!$M$7,(ABS($F43-$G43-M43+N43)&lt;=1)*1,IF(AND(P43,$F43=$G43,$F43&gt;=PrSettings!$M$6),(ABS(M43-$F43)&lt;=1)*1,IF(AND(P43,$F43+$G43&gt;=PrSettings!$M$8),(ABS(M43-$F43)+ABS(N43-$G43)&lt;=1)*1,""))),"")</f>
        <v/>
      </c>
      <c r="T43" s="989"/>
      <c r="U43" s="965"/>
      <c r="V43" s="966"/>
      <c r="W43" s="973"/>
      <c r="X43" s="966"/>
      <c r="Y43" s="973"/>
      <c r="Z43" s="978"/>
      <c r="AA43" s="978"/>
      <c r="AB43" s="966"/>
      <c r="AC43" s="966"/>
      <c r="AD43" s="966"/>
      <c r="AE43" s="966"/>
      <c r="AF43" s="966"/>
      <c r="AG43" s="966"/>
      <c r="AH43" s="965"/>
      <c r="AI43" s="966"/>
      <c r="AJ43" s="973"/>
      <c r="AK43" s="966"/>
      <c r="AL43" s="973"/>
      <c r="AM43" s="978"/>
      <c r="AN43" s="978"/>
      <c r="AO43" s="966"/>
      <c r="AP43" s="966"/>
      <c r="AQ43" s="966"/>
      <c r="AR43" s="966"/>
      <c r="AS43" s="966"/>
      <c r="AT43" s="966"/>
      <c r="AU43" s="965"/>
      <c r="AV43" s="966"/>
      <c r="AW43" s="973"/>
      <c r="AX43" s="966"/>
      <c r="AY43" s="973"/>
      <c r="AZ43" s="978"/>
      <c r="BA43" s="978"/>
      <c r="BB43" s="966"/>
      <c r="BC43" s="966"/>
      <c r="BD43" s="966"/>
      <c r="BE43" s="966"/>
      <c r="BF43" s="966"/>
      <c r="BG43" s="966"/>
      <c r="BH43" s="965"/>
      <c r="BI43" s="966"/>
      <c r="BJ43" s="973"/>
      <c r="BK43" s="966"/>
      <c r="BL43" s="973"/>
      <c r="BM43" s="978"/>
      <c r="BN43" s="978"/>
      <c r="BO43" s="966"/>
      <c r="BP43" s="966"/>
      <c r="BQ43" s="966"/>
      <c r="BR43" s="966"/>
      <c r="BS43" s="966"/>
      <c r="BT43" s="966"/>
      <c r="BU43" s="965"/>
      <c r="BV43" s="966"/>
      <c r="BW43" s="973"/>
      <c r="BX43" s="966"/>
      <c r="BY43" s="973"/>
      <c r="BZ43" s="978"/>
      <c r="CA43" s="978"/>
      <c r="CB43" s="966"/>
      <c r="CC43" s="966"/>
      <c r="CD43" s="966"/>
      <c r="CE43" s="966"/>
      <c r="CF43" s="966"/>
      <c r="CG43" s="966"/>
      <c r="CH43" s="965"/>
      <c r="CI43" s="966"/>
      <c r="CJ43" s="973"/>
      <c r="CK43" s="966"/>
      <c r="CL43" s="973"/>
      <c r="CM43" s="978"/>
      <c r="CN43" s="978"/>
      <c r="CO43" s="966"/>
      <c r="CP43" s="966"/>
      <c r="CQ43" s="966"/>
      <c r="CR43" s="966"/>
      <c r="CS43" s="966"/>
      <c r="CT43" s="966"/>
      <c r="CU43" s="965"/>
      <c r="CV43" s="966"/>
      <c r="CW43" s="973"/>
      <c r="CX43" s="966"/>
      <c r="CY43" s="973"/>
      <c r="CZ43" s="978"/>
      <c r="DA43" s="978"/>
      <c r="DB43" s="966"/>
      <c r="DC43" s="966"/>
      <c r="DD43" s="966"/>
      <c r="DE43" s="966"/>
      <c r="DF43" s="966"/>
      <c r="DG43" s="966"/>
      <c r="DH43" s="965"/>
      <c r="DI43" s="966"/>
      <c r="DJ43" s="973"/>
      <c r="DK43" s="966"/>
      <c r="DL43" s="973"/>
      <c r="DM43" s="978"/>
      <c r="DN43" s="978"/>
      <c r="DO43" s="966"/>
      <c r="DP43" s="966"/>
      <c r="DQ43" s="966"/>
      <c r="DR43" s="966"/>
      <c r="DS43" s="966"/>
      <c r="DT43" s="966"/>
      <c r="DU43" s="965"/>
      <c r="DV43" s="966"/>
      <c r="DW43" s="973"/>
      <c r="DX43" s="966"/>
      <c r="DY43" s="973"/>
      <c r="DZ43" s="978"/>
      <c r="EA43" s="978"/>
      <c r="EB43" s="966"/>
      <c r="EC43" s="966"/>
      <c r="ED43" s="966"/>
      <c r="EE43" s="966"/>
      <c r="EF43" s="966"/>
      <c r="EG43" s="966"/>
      <c r="EH43" s="965"/>
      <c r="EI43" s="966"/>
      <c r="EJ43" s="973"/>
      <c r="EK43" s="966"/>
      <c r="EL43" s="973"/>
      <c r="EM43" s="978"/>
      <c r="EN43" s="978"/>
      <c r="EO43" s="966"/>
      <c r="EP43" s="966"/>
      <c r="EQ43" s="966"/>
      <c r="ER43" s="966"/>
      <c r="ES43" s="966"/>
      <c r="ET43" s="966"/>
      <c r="EU43" s="965"/>
      <c r="EV43" s="966"/>
      <c r="EW43" s="973"/>
      <c r="EX43" s="966"/>
      <c r="EY43" s="973"/>
      <c r="EZ43" s="978"/>
      <c r="FA43" s="978"/>
      <c r="FB43" s="966"/>
      <c r="FC43" s="966"/>
      <c r="FD43" s="966"/>
      <c r="FE43" s="966"/>
      <c r="FF43" s="966"/>
      <c r="FG43" s="966"/>
      <c r="FH43" s="965"/>
      <c r="FI43" s="966"/>
      <c r="FJ43" s="973"/>
      <c r="FK43" s="966"/>
      <c r="FL43" s="973"/>
      <c r="FM43" s="978"/>
      <c r="FN43" s="978"/>
      <c r="FO43" s="966"/>
      <c r="FP43" s="966"/>
      <c r="FQ43" s="966"/>
      <c r="FR43" s="966"/>
      <c r="FS43" s="966"/>
      <c r="FT43" s="966"/>
      <c r="FU43" s="965"/>
      <c r="FV43" s="966"/>
      <c r="FW43" s="973"/>
      <c r="FX43" s="966"/>
      <c r="FY43" s="973"/>
      <c r="FZ43" s="978"/>
      <c r="GA43" s="978"/>
      <c r="GB43" s="966"/>
      <c r="GC43" s="966"/>
      <c r="GD43" s="966"/>
      <c r="GE43" s="966"/>
      <c r="GF43" s="966"/>
      <c r="GG43" s="966"/>
      <c r="GH43" s="965"/>
      <c r="GI43" s="966"/>
      <c r="GJ43" s="973"/>
      <c r="GK43" s="966"/>
      <c r="GL43" s="973"/>
      <c r="GM43" s="978"/>
      <c r="GN43" s="978"/>
      <c r="GO43" s="966"/>
      <c r="GP43" s="966"/>
      <c r="GQ43" s="966"/>
      <c r="GR43" s="966"/>
      <c r="GS43" s="966"/>
      <c r="GT43" s="966"/>
      <c r="GU43" s="965"/>
      <c r="GV43" s="966"/>
      <c r="GW43" s="973"/>
      <c r="GX43" s="966"/>
      <c r="GY43" s="973"/>
      <c r="GZ43" s="978"/>
      <c r="HA43" s="978"/>
      <c r="HB43" s="966"/>
      <c r="HC43" s="966"/>
      <c r="HD43" s="966"/>
      <c r="HE43" s="966"/>
      <c r="HF43" s="966"/>
      <c r="HG43" s="966"/>
      <c r="HH43" s="965"/>
      <c r="HI43" s="966"/>
      <c r="HJ43" s="973"/>
      <c r="HK43" s="966"/>
      <c r="HL43" s="973"/>
      <c r="HM43" s="978"/>
      <c r="HN43" s="978"/>
      <c r="HO43" s="966"/>
      <c r="HP43" s="966"/>
      <c r="HQ43" s="966"/>
      <c r="HR43" s="966"/>
      <c r="HS43" s="966"/>
      <c r="HT43" s="966"/>
      <c r="HU43" s="965"/>
      <c r="HV43" s="966"/>
      <c r="HW43" s="973"/>
      <c r="HX43" s="966"/>
      <c r="HY43" s="973"/>
      <c r="HZ43" s="978"/>
      <c r="IA43" s="978"/>
      <c r="IB43" s="966"/>
      <c r="IC43" s="966"/>
      <c r="ID43" s="966"/>
      <c r="IE43" s="966"/>
      <c r="IF43" s="966"/>
      <c r="IG43" s="966"/>
      <c r="IH43" s="965"/>
      <c r="II43" s="966"/>
      <c r="IJ43" s="973"/>
      <c r="IK43" s="966"/>
      <c r="IL43" s="973"/>
      <c r="IM43" s="978"/>
      <c r="IN43" s="978"/>
      <c r="IO43" s="966"/>
      <c r="IP43" s="966"/>
      <c r="IQ43" s="966"/>
      <c r="IR43" s="966"/>
      <c r="IS43" s="966"/>
      <c r="IT43" s="966"/>
      <c r="IU43" s="965"/>
      <c r="IV43" s="966"/>
      <c r="IW43" s="973"/>
      <c r="IX43" s="966"/>
      <c r="IY43" s="973"/>
      <c r="IZ43" s="978"/>
      <c r="JA43" s="978"/>
      <c r="JB43" s="966"/>
      <c r="JC43" s="966"/>
      <c r="JD43" s="966"/>
      <c r="JE43" s="966"/>
      <c r="JF43" s="966"/>
      <c r="JG43" s="966"/>
      <c r="JH43" s="965"/>
      <c r="JI43" s="966"/>
      <c r="JJ43" s="973"/>
      <c r="JK43" s="966"/>
      <c r="JL43" s="973"/>
      <c r="JM43" s="978"/>
      <c r="JN43" s="978"/>
      <c r="JO43" s="966"/>
      <c r="JP43" s="966"/>
      <c r="JQ43" s="966"/>
      <c r="JR43" s="966"/>
      <c r="JS43" s="966"/>
      <c r="JT43" s="966"/>
      <c r="JU43" s="965"/>
      <c r="JV43" s="966"/>
      <c r="JW43" s="973"/>
      <c r="JX43" s="966"/>
      <c r="JY43" s="973"/>
      <c r="JZ43" s="978"/>
      <c r="KA43" s="978"/>
      <c r="KB43" s="966"/>
      <c r="KC43" s="966"/>
      <c r="KD43" s="966"/>
      <c r="KE43" s="966"/>
      <c r="KF43" s="966"/>
      <c r="KG43" s="966"/>
      <c r="KH43" s="965"/>
      <c r="KI43" s="966"/>
      <c r="KJ43" s="973"/>
      <c r="KK43" s="966"/>
      <c r="KL43" s="973"/>
      <c r="KM43" s="978"/>
      <c r="KN43" s="978"/>
      <c r="KO43" s="966"/>
      <c r="KP43" s="966"/>
      <c r="KQ43" s="966"/>
      <c r="KR43" s="966"/>
      <c r="KS43" s="966"/>
      <c r="KT43" s="966"/>
      <c r="KU43" s="965"/>
      <c r="KV43" s="966"/>
      <c r="KW43" s="973"/>
      <c r="KX43" s="966"/>
      <c r="KY43" s="973"/>
      <c r="KZ43" s="978"/>
      <c r="LA43" s="978"/>
      <c r="LB43" s="966"/>
      <c r="LC43" s="966"/>
      <c r="LD43" s="966"/>
      <c r="LE43" s="966"/>
      <c r="LF43" s="966"/>
      <c r="LG43" s="966"/>
      <c r="LH43" s="965"/>
      <c r="LI43" s="966"/>
      <c r="LJ43" s="973"/>
      <c r="LK43" s="966"/>
      <c r="LL43" s="973"/>
      <c r="LM43" s="978"/>
      <c r="LN43" s="978"/>
      <c r="LO43" s="966"/>
      <c r="LP43" s="966"/>
      <c r="LQ43" s="966"/>
      <c r="LR43" s="966"/>
      <c r="LS43" s="966"/>
      <c r="LT43" s="966"/>
      <c r="LU43" s="965"/>
      <c r="LV43" s="966"/>
      <c r="LW43" s="973"/>
      <c r="LX43" s="966"/>
      <c r="LY43" s="973"/>
      <c r="LZ43" s="978"/>
      <c r="MA43" s="978"/>
      <c r="MB43" s="966"/>
      <c r="MC43" s="966"/>
      <c r="MD43" s="966"/>
      <c r="ME43" s="966"/>
      <c r="MF43" s="966"/>
      <c r="MG43" s="966"/>
    </row>
    <row r="44" spans="1:345">
      <c r="B44" s="196">
        <f>INDEX(Groups!$C$7:$C$65,MATCH(C44,Groups!$D$7:$D$65,0))</f>
        <v>44</v>
      </c>
      <c r="C44" s="197" t="str">
        <f>CalcF!$P$25</f>
        <v>Tunesië</v>
      </c>
      <c r="D44" s="198">
        <f>INDEX(Groups!$C$7:$C$65,MATCH(E44,Groups!$D$7:$D$65,0))</f>
        <v>18</v>
      </c>
      <c r="E44" s="197" t="str">
        <f>CalcF!$Q$25</f>
        <v>Japan</v>
      </c>
      <c r="F44" s="199" t="str">
        <f>CalcF!$R$25</f>
        <v/>
      </c>
      <c r="G44" s="200" t="str">
        <f>CalcF!$S$25</f>
        <v/>
      </c>
      <c r="I44" s="196">
        <f t="shared" si="18"/>
        <v>44</v>
      </c>
      <c r="J44" s="197" t="str">
        <f t="shared" si="23"/>
        <v>Tunesië</v>
      </c>
      <c r="K44" s="198">
        <f t="shared" si="1"/>
        <v>18</v>
      </c>
      <c r="L44" s="197" t="str">
        <f t="shared" si="24"/>
        <v>Japan</v>
      </c>
      <c r="M44" s="232"/>
      <c r="N44" s="232"/>
      <c r="O44" s="228"/>
      <c r="P44" s="198" t="str">
        <f t="shared" si="25"/>
        <v/>
      </c>
      <c r="Q44" s="198" t="str">
        <f>IF((P44&lt;&gt;""),IF(OR($F44&lt;&gt;$G44,PrSettings!$M$4="●"),(($F44-$G44)=(M44-N44))*1,0),"")</f>
        <v/>
      </c>
      <c r="R44" s="198" t="str">
        <f t="shared" si="26"/>
        <v/>
      </c>
      <c r="S44" s="198" t="str">
        <f>IF(P44&lt;&gt;"",IF(ABS($F44-$G44)&gt;=PrSettings!$M$7,(ABS($F44-$G44-M44+N44)&lt;=1)*1,IF(AND(P44,$F44=$G44,$F44&gt;=PrSettings!$M$6),(ABS(M44-$F44)&lt;=1)*1,IF(AND(P44,$F44+$G44&gt;=PrSettings!$M$8),(ABS(M44-$F44)+ABS(N44-$G44)&lt;=1)*1,""))),"")</f>
        <v/>
      </c>
      <c r="T44" s="989"/>
      <c r="U44" s="965"/>
      <c r="V44" s="966"/>
      <c r="W44" s="973"/>
      <c r="X44" s="966"/>
      <c r="Y44" s="973"/>
      <c r="Z44" s="978"/>
      <c r="AA44" s="978"/>
      <c r="AB44" s="966"/>
      <c r="AC44" s="966"/>
      <c r="AD44" s="966"/>
      <c r="AE44" s="966"/>
      <c r="AF44" s="966"/>
      <c r="AG44" s="966"/>
      <c r="AH44" s="965"/>
      <c r="AI44" s="966"/>
      <c r="AJ44" s="973"/>
      <c r="AK44" s="966"/>
      <c r="AL44" s="973"/>
      <c r="AM44" s="978"/>
      <c r="AN44" s="978"/>
      <c r="AO44" s="966"/>
      <c r="AP44" s="966"/>
      <c r="AQ44" s="966"/>
      <c r="AR44" s="966"/>
      <c r="AS44" s="966"/>
      <c r="AT44" s="966"/>
      <c r="AU44" s="965"/>
      <c r="AV44" s="966"/>
      <c r="AW44" s="973"/>
      <c r="AX44" s="966"/>
      <c r="AY44" s="973"/>
      <c r="AZ44" s="978"/>
      <c r="BA44" s="978"/>
      <c r="BB44" s="966"/>
      <c r="BC44" s="966"/>
      <c r="BD44" s="966"/>
      <c r="BE44" s="966"/>
      <c r="BF44" s="966"/>
      <c r="BG44" s="966"/>
      <c r="BH44" s="965"/>
      <c r="BI44" s="966"/>
      <c r="BJ44" s="973"/>
      <c r="BK44" s="966"/>
      <c r="BL44" s="973"/>
      <c r="BM44" s="978"/>
      <c r="BN44" s="978"/>
      <c r="BO44" s="966"/>
      <c r="BP44" s="966"/>
      <c r="BQ44" s="966"/>
      <c r="BR44" s="966"/>
      <c r="BS44" s="966"/>
      <c r="BT44" s="966"/>
      <c r="BU44" s="965"/>
      <c r="BV44" s="966"/>
      <c r="BW44" s="973"/>
      <c r="BX44" s="966"/>
      <c r="BY44" s="973"/>
      <c r="BZ44" s="978"/>
      <c r="CA44" s="978"/>
      <c r="CB44" s="966"/>
      <c r="CC44" s="966"/>
      <c r="CD44" s="966"/>
      <c r="CE44" s="966"/>
      <c r="CF44" s="966"/>
      <c r="CG44" s="966"/>
      <c r="CH44" s="965"/>
      <c r="CI44" s="966"/>
      <c r="CJ44" s="973"/>
      <c r="CK44" s="966"/>
      <c r="CL44" s="973"/>
      <c r="CM44" s="978"/>
      <c r="CN44" s="978"/>
      <c r="CO44" s="966"/>
      <c r="CP44" s="966"/>
      <c r="CQ44" s="966"/>
      <c r="CR44" s="966"/>
      <c r="CS44" s="966"/>
      <c r="CT44" s="966"/>
      <c r="CU44" s="965"/>
      <c r="CV44" s="966"/>
      <c r="CW44" s="973"/>
      <c r="CX44" s="966"/>
      <c r="CY44" s="973"/>
      <c r="CZ44" s="978"/>
      <c r="DA44" s="978"/>
      <c r="DB44" s="966"/>
      <c r="DC44" s="966"/>
      <c r="DD44" s="966"/>
      <c r="DE44" s="966"/>
      <c r="DF44" s="966"/>
      <c r="DG44" s="966"/>
      <c r="DH44" s="965"/>
      <c r="DI44" s="966"/>
      <c r="DJ44" s="973"/>
      <c r="DK44" s="966"/>
      <c r="DL44" s="973"/>
      <c r="DM44" s="978"/>
      <c r="DN44" s="978"/>
      <c r="DO44" s="966"/>
      <c r="DP44" s="966"/>
      <c r="DQ44" s="966"/>
      <c r="DR44" s="966"/>
      <c r="DS44" s="966"/>
      <c r="DT44" s="966"/>
      <c r="DU44" s="965"/>
      <c r="DV44" s="966"/>
      <c r="DW44" s="973"/>
      <c r="DX44" s="966"/>
      <c r="DY44" s="973"/>
      <c r="DZ44" s="978"/>
      <c r="EA44" s="978"/>
      <c r="EB44" s="966"/>
      <c r="EC44" s="966"/>
      <c r="ED44" s="966"/>
      <c r="EE44" s="966"/>
      <c r="EF44" s="966"/>
      <c r="EG44" s="966"/>
      <c r="EH44" s="965"/>
      <c r="EI44" s="966"/>
      <c r="EJ44" s="973"/>
      <c r="EK44" s="966"/>
      <c r="EL44" s="973"/>
      <c r="EM44" s="978"/>
      <c r="EN44" s="978"/>
      <c r="EO44" s="966"/>
      <c r="EP44" s="966"/>
      <c r="EQ44" s="966"/>
      <c r="ER44" s="966"/>
      <c r="ES44" s="966"/>
      <c r="ET44" s="966"/>
      <c r="EU44" s="965"/>
      <c r="EV44" s="966"/>
      <c r="EW44" s="973"/>
      <c r="EX44" s="966"/>
      <c r="EY44" s="973"/>
      <c r="EZ44" s="978"/>
      <c r="FA44" s="978"/>
      <c r="FB44" s="966"/>
      <c r="FC44" s="966"/>
      <c r="FD44" s="966"/>
      <c r="FE44" s="966"/>
      <c r="FF44" s="966"/>
      <c r="FG44" s="966"/>
      <c r="FH44" s="965"/>
      <c r="FI44" s="966"/>
      <c r="FJ44" s="973"/>
      <c r="FK44" s="966"/>
      <c r="FL44" s="973"/>
      <c r="FM44" s="978"/>
      <c r="FN44" s="978"/>
      <c r="FO44" s="966"/>
      <c r="FP44" s="966"/>
      <c r="FQ44" s="966"/>
      <c r="FR44" s="966"/>
      <c r="FS44" s="966"/>
      <c r="FT44" s="966"/>
      <c r="FU44" s="965"/>
      <c r="FV44" s="966"/>
      <c r="FW44" s="973"/>
      <c r="FX44" s="966"/>
      <c r="FY44" s="973"/>
      <c r="FZ44" s="978"/>
      <c r="GA44" s="978"/>
      <c r="GB44" s="966"/>
      <c r="GC44" s="966"/>
      <c r="GD44" s="966"/>
      <c r="GE44" s="966"/>
      <c r="GF44" s="966"/>
      <c r="GG44" s="966"/>
      <c r="GH44" s="965"/>
      <c r="GI44" s="966"/>
      <c r="GJ44" s="973"/>
      <c r="GK44" s="966"/>
      <c r="GL44" s="973"/>
      <c r="GM44" s="978"/>
      <c r="GN44" s="978"/>
      <c r="GO44" s="966"/>
      <c r="GP44" s="966"/>
      <c r="GQ44" s="966"/>
      <c r="GR44" s="966"/>
      <c r="GS44" s="966"/>
      <c r="GT44" s="966"/>
      <c r="GU44" s="965"/>
      <c r="GV44" s="966"/>
      <c r="GW44" s="973"/>
      <c r="GX44" s="966"/>
      <c r="GY44" s="973"/>
      <c r="GZ44" s="978"/>
      <c r="HA44" s="978"/>
      <c r="HB44" s="966"/>
      <c r="HC44" s="966"/>
      <c r="HD44" s="966"/>
      <c r="HE44" s="966"/>
      <c r="HF44" s="966"/>
      <c r="HG44" s="966"/>
      <c r="HH44" s="965"/>
      <c r="HI44" s="966"/>
      <c r="HJ44" s="973"/>
      <c r="HK44" s="966"/>
      <c r="HL44" s="973"/>
      <c r="HM44" s="978"/>
      <c r="HN44" s="978"/>
      <c r="HO44" s="966"/>
      <c r="HP44" s="966"/>
      <c r="HQ44" s="966"/>
      <c r="HR44" s="966"/>
      <c r="HS44" s="966"/>
      <c r="HT44" s="966"/>
      <c r="HU44" s="965"/>
      <c r="HV44" s="966"/>
      <c r="HW44" s="973"/>
      <c r="HX44" s="966"/>
      <c r="HY44" s="973"/>
      <c r="HZ44" s="978"/>
      <c r="IA44" s="978"/>
      <c r="IB44" s="966"/>
      <c r="IC44" s="966"/>
      <c r="ID44" s="966"/>
      <c r="IE44" s="966"/>
      <c r="IF44" s="966"/>
      <c r="IG44" s="966"/>
      <c r="IH44" s="965"/>
      <c r="II44" s="966"/>
      <c r="IJ44" s="973"/>
      <c r="IK44" s="966"/>
      <c r="IL44" s="973"/>
      <c r="IM44" s="978"/>
      <c r="IN44" s="978"/>
      <c r="IO44" s="966"/>
      <c r="IP44" s="966"/>
      <c r="IQ44" s="966"/>
      <c r="IR44" s="966"/>
      <c r="IS44" s="966"/>
      <c r="IT44" s="966"/>
      <c r="IU44" s="965"/>
      <c r="IV44" s="966"/>
      <c r="IW44" s="973"/>
      <c r="IX44" s="966"/>
      <c r="IY44" s="973"/>
      <c r="IZ44" s="978"/>
      <c r="JA44" s="978"/>
      <c r="JB44" s="966"/>
      <c r="JC44" s="966"/>
      <c r="JD44" s="966"/>
      <c r="JE44" s="966"/>
      <c r="JF44" s="966"/>
      <c r="JG44" s="966"/>
      <c r="JH44" s="965"/>
      <c r="JI44" s="966"/>
      <c r="JJ44" s="973"/>
      <c r="JK44" s="966"/>
      <c r="JL44" s="973"/>
      <c r="JM44" s="978"/>
      <c r="JN44" s="978"/>
      <c r="JO44" s="966"/>
      <c r="JP44" s="966"/>
      <c r="JQ44" s="966"/>
      <c r="JR44" s="966"/>
      <c r="JS44" s="966"/>
      <c r="JT44" s="966"/>
      <c r="JU44" s="965"/>
      <c r="JV44" s="966"/>
      <c r="JW44" s="973"/>
      <c r="JX44" s="966"/>
      <c r="JY44" s="973"/>
      <c r="JZ44" s="978"/>
      <c r="KA44" s="978"/>
      <c r="KB44" s="966"/>
      <c r="KC44" s="966"/>
      <c r="KD44" s="966"/>
      <c r="KE44" s="966"/>
      <c r="KF44" s="966"/>
      <c r="KG44" s="966"/>
      <c r="KH44" s="965"/>
      <c r="KI44" s="966"/>
      <c r="KJ44" s="973"/>
      <c r="KK44" s="966"/>
      <c r="KL44" s="973"/>
      <c r="KM44" s="978"/>
      <c r="KN44" s="978"/>
      <c r="KO44" s="966"/>
      <c r="KP44" s="966"/>
      <c r="KQ44" s="966"/>
      <c r="KR44" s="966"/>
      <c r="KS44" s="966"/>
      <c r="KT44" s="966"/>
      <c r="KU44" s="965"/>
      <c r="KV44" s="966"/>
      <c r="KW44" s="973"/>
      <c r="KX44" s="966"/>
      <c r="KY44" s="973"/>
      <c r="KZ44" s="978"/>
      <c r="LA44" s="978"/>
      <c r="LB44" s="966"/>
      <c r="LC44" s="966"/>
      <c r="LD44" s="966"/>
      <c r="LE44" s="966"/>
      <c r="LF44" s="966"/>
      <c r="LG44" s="966"/>
      <c r="LH44" s="965"/>
      <c r="LI44" s="966"/>
      <c r="LJ44" s="973"/>
      <c r="LK44" s="966"/>
      <c r="LL44" s="973"/>
      <c r="LM44" s="978"/>
      <c r="LN44" s="978"/>
      <c r="LO44" s="966"/>
      <c r="LP44" s="966"/>
      <c r="LQ44" s="966"/>
      <c r="LR44" s="966"/>
      <c r="LS44" s="966"/>
      <c r="LT44" s="966"/>
      <c r="LU44" s="965"/>
      <c r="LV44" s="966"/>
      <c r="LW44" s="973"/>
      <c r="LX44" s="966"/>
      <c r="LY44" s="973"/>
      <c r="LZ44" s="978"/>
      <c r="MA44" s="978"/>
      <c r="MB44" s="966"/>
      <c r="MC44" s="966"/>
      <c r="MD44" s="966"/>
      <c r="ME44" s="966"/>
      <c r="MF44" s="966"/>
      <c r="MG44" s="966"/>
    </row>
    <row r="45" spans="1:345">
      <c r="B45" s="196">
        <f>INDEX(Groups!$C$7:$C$65,MATCH(C45,Groups!$D$7:$D$65,0))</f>
        <v>18</v>
      </c>
      <c r="C45" s="197" t="str">
        <f>CalcF!$P$26</f>
        <v>Japan</v>
      </c>
      <c r="D45" s="198">
        <f>INDEX(Groups!$C$7:$C$65,MATCH(E45,Groups!$D$7:$D$65,0))</f>
        <v>38</v>
      </c>
      <c r="E45" s="197" t="str">
        <f>CalcF!$Q$26</f>
        <v>Zweden</v>
      </c>
      <c r="F45" s="199" t="str">
        <f>CalcF!$R$26</f>
        <v/>
      </c>
      <c r="G45" s="200" t="str">
        <f>CalcF!$S$26</f>
        <v/>
      </c>
      <c r="I45" s="196">
        <f t="shared" si="18"/>
        <v>18</v>
      </c>
      <c r="J45" s="197" t="str">
        <f t="shared" si="23"/>
        <v>Japan</v>
      </c>
      <c r="K45" s="198">
        <f t="shared" si="1"/>
        <v>38</v>
      </c>
      <c r="L45" s="197" t="str">
        <f t="shared" si="24"/>
        <v>Zweden</v>
      </c>
      <c r="M45" s="232"/>
      <c r="N45" s="232"/>
      <c r="O45" s="228"/>
      <c r="P45" s="198" t="str">
        <f t="shared" si="25"/>
        <v/>
      </c>
      <c r="Q45" s="198" t="str">
        <f>IF((P45&lt;&gt;""),IF(OR($F45&lt;&gt;$G45,PrSettings!$M$4="●"),(($F45-$G45)=(M45-N45))*1,0),"")</f>
        <v/>
      </c>
      <c r="R45" s="198" t="str">
        <f t="shared" si="26"/>
        <v/>
      </c>
      <c r="S45" s="198" t="str">
        <f>IF(P45&lt;&gt;"",IF(ABS($F45-$G45)&gt;=PrSettings!$M$7,(ABS($F45-$G45-M45+N45)&lt;=1)*1,IF(AND(P45,$F45=$G45,$F45&gt;=PrSettings!$M$6),(ABS(M45-$F45)&lt;=1)*1,IF(AND(P45,$F45+$G45&gt;=PrSettings!$M$8),(ABS(M45-$F45)+ABS(N45-$G45)&lt;=1)*1,""))),"")</f>
        <v/>
      </c>
      <c r="T45" s="989"/>
      <c r="U45" s="965"/>
      <c r="V45" s="966"/>
      <c r="W45" s="973"/>
      <c r="X45" s="966"/>
      <c r="Y45" s="973"/>
      <c r="Z45" s="978"/>
      <c r="AA45" s="978"/>
      <c r="AB45" s="966"/>
      <c r="AC45" s="966"/>
      <c r="AD45" s="966"/>
      <c r="AE45" s="966"/>
      <c r="AF45" s="966"/>
      <c r="AG45" s="966"/>
      <c r="AH45" s="965"/>
      <c r="AI45" s="966"/>
      <c r="AJ45" s="973"/>
      <c r="AK45" s="966"/>
      <c r="AL45" s="973"/>
      <c r="AM45" s="978"/>
      <c r="AN45" s="978"/>
      <c r="AO45" s="966"/>
      <c r="AP45" s="966"/>
      <c r="AQ45" s="966"/>
      <c r="AR45" s="966"/>
      <c r="AS45" s="966"/>
      <c r="AT45" s="966"/>
      <c r="AU45" s="965"/>
      <c r="AV45" s="966"/>
      <c r="AW45" s="973"/>
      <c r="AX45" s="966"/>
      <c r="AY45" s="973"/>
      <c r="AZ45" s="978"/>
      <c r="BA45" s="978"/>
      <c r="BB45" s="966"/>
      <c r="BC45" s="966"/>
      <c r="BD45" s="966"/>
      <c r="BE45" s="966"/>
      <c r="BF45" s="966"/>
      <c r="BG45" s="966"/>
      <c r="BH45" s="965"/>
      <c r="BI45" s="966"/>
      <c r="BJ45" s="973"/>
      <c r="BK45" s="966"/>
      <c r="BL45" s="973"/>
      <c r="BM45" s="978"/>
      <c r="BN45" s="978"/>
      <c r="BO45" s="966"/>
      <c r="BP45" s="966"/>
      <c r="BQ45" s="966"/>
      <c r="BR45" s="966"/>
      <c r="BS45" s="966"/>
      <c r="BT45" s="966"/>
      <c r="BU45" s="965"/>
      <c r="BV45" s="966"/>
      <c r="BW45" s="973"/>
      <c r="BX45" s="966"/>
      <c r="BY45" s="973"/>
      <c r="BZ45" s="978"/>
      <c r="CA45" s="978"/>
      <c r="CB45" s="966"/>
      <c r="CC45" s="966"/>
      <c r="CD45" s="966"/>
      <c r="CE45" s="966"/>
      <c r="CF45" s="966"/>
      <c r="CG45" s="966"/>
      <c r="CH45" s="965"/>
      <c r="CI45" s="966"/>
      <c r="CJ45" s="973"/>
      <c r="CK45" s="966"/>
      <c r="CL45" s="973"/>
      <c r="CM45" s="978"/>
      <c r="CN45" s="978"/>
      <c r="CO45" s="966"/>
      <c r="CP45" s="966"/>
      <c r="CQ45" s="966"/>
      <c r="CR45" s="966"/>
      <c r="CS45" s="966"/>
      <c r="CT45" s="966"/>
      <c r="CU45" s="965"/>
      <c r="CV45" s="966"/>
      <c r="CW45" s="973"/>
      <c r="CX45" s="966"/>
      <c r="CY45" s="973"/>
      <c r="CZ45" s="978"/>
      <c r="DA45" s="978"/>
      <c r="DB45" s="966"/>
      <c r="DC45" s="966"/>
      <c r="DD45" s="966"/>
      <c r="DE45" s="966"/>
      <c r="DF45" s="966"/>
      <c r="DG45" s="966"/>
      <c r="DH45" s="965"/>
      <c r="DI45" s="966"/>
      <c r="DJ45" s="973"/>
      <c r="DK45" s="966"/>
      <c r="DL45" s="973"/>
      <c r="DM45" s="978"/>
      <c r="DN45" s="978"/>
      <c r="DO45" s="966"/>
      <c r="DP45" s="966"/>
      <c r="DQ45" s="966"/>
      <c r="DR45" s="966"/>
      <c r="DS45" s="966"/>
      <c r="DT45" s="966"/>
      <c r="DU45" s="965"/>
      <c r="DV45" s="966"/>
      <c r="DW45" s="973"/>
      <c r="DX45" s="966"/>
      <c r="DY45" s="973"/>
      <c r="DZ45" s="978"/>
      <c r="EA45" s="978"/>
      <c r="EB45" s="966"/>
      <c r="EC45" s="966"/>
      <c r="ED45" s="966"/>
      <c r="EE45" s="966"/>
      <c r="EF45" s="966"/>
      <c r="EG45" s="966"/>
      <c r="EH45" s="965"/>
      <c r="EI45" s="966"/>
      <c r="EJ45" s="973"/>
      <c r="EK45" s="966"/>
      <c r="EL45" s="973"/>
      <c r="EM45" s="978"/>
      <c r="EN45" s="978"/>
      <c r="EO45" s="966"/>
      <c r="EP45" s="966"/>
      <c r="EQ45" s="966"/>
      <c r="ER45" s="966"/>
      <c r="ES45" s="966"/>
      <c r="ET45" s="966"/>
      <c r="EU45" s="965"/>
      <c r="EV45" s="966"/>
      <c r="EW45" s="973"/>
      <c r="EX45" s="966"/>
      <c r="EY45" s="973"/>
      <c r="EZ45" s="978"/>
      <c r="FA45" s="978"/>
      <c r="FB45" s="966"/>
      <c r="FC45" s="966"/>
      <c r="FD45" s="966"/>
      <c r="FE45" s="966"/>
      <c r="FF45" s="966"/>
      <c r="FG45" s="966"/>
      <c r="FH45" s="965"/>
      <c r="FI45" s="966"/>
      <c r="FJ45" s="973"/>
      <c r="FK45" s="966"/>
      <c r="FL45" s="973"/>
      <c r="FM45" s="978"/>
      <c r="FN45" s="978"/>
      <c r="FO45" s="966"/>
      <c r="FP45" s="966"/>
      <c r="FQ45" s="966"/>
      <c r="FR45" s="966"/>
      <c r="FS45" s="966"/>
      <c r="FT45" s="966"/>
      <c r="FU45" s="965"/>
      <c r="FV45" s="966"/>
      <c r="FW45" s="973"/>
      <c r="FX45" s="966"/>
      <c r="FY45" s="973"/>
      <c r="FZ45" s="978"/>
      <c r="GA45" s="978"/>
      <c r="GB45" s="966"/>
      <c r="GC45" s="966"/>
      <c r="GD45" s="966"/>
      <c r="GE45" s="966"/>
      <c r="GF45" s="966"/>
      <c r="GG45" s="966"/>
      <c r="GH45" s="965"/>
      <c r="GI45" s="966"/>
      <c r="GJ45" s="973"/>
      <c r="GK45" s="966"/>
      <c r="GL45" s="973"/>
      <c r="GM45" s="978"/>
      <c r="GN45" s="978"/>
      <c r="GO45" s="966"/>
      <c r="GP45" s="966"/>
      <c r="GQ45" s="966"/>
      <c r="GR45" s="966"/>
      <c r="GS45" s="966"/>
      <c r="GT45" s="966"/>
      <c r="GU45" s="965"/>
      <c r="GV45" s="966"/>
      <c r="GW45" s="973"/>
      <c r="GX45" s="966"/>
      <c r="GY45" s="973"/>
      <c r="GZ45" s="978"/>
      <c r="HA45" s="978"/>
      <c r="HB45" s="966"/>
      <c r="HC45" s="966"/>
      <c r="HD45" s="966"/>
      <c r="HE45" s="966"/>
      <c r="HF45" s="966"/>
      <c r="HG45" s="966"/>
      <c r="HH45" s="965"/>
      <c r="HI45" s="966"/>
      <c r="HJ45" s="973"/>
      <c r="HK45" s="966"/>
      <c r="HL45" s="973"/>
      <c r="HM45" s="978"/>
      <c r="HN45" s="978"/>
      <c r="HO45" s="966"/>
      <c r="HP45" s="966"/>
      <c r="HQ45" s="966"/>
      <c r="HR45" s="966"/>
      <c r="HS45" s="966"/>
      <c r="HT45" s="966"/>
      <c r="HU45" s="965"/>
      <c r="HV45" s="966"/>
      <c r="HW45" s="973"/>
      <c r="HX45" s="966"/>
      <c r="HY45" s="973"/>
      <c r="HZ45" s="978"/>
      <c r="IA45" s="978"/>
      <c r="IB45" s="966"/>
      <c r="IC45" s="966"/>
      <c r="ID45" s="966"/>
      <c r="IE45" s="966"/>
      <c r="IF45" s="966"/>
      <c r="IG45" s="966"/>
      <c r="IH45" s="965"/>
      <c r="II45" s="966"/>
      <c r="IJ45" s="973"/>
      <c r="IK45" s="966"/>
      <c r="IL45" s="973"/>
      <c r="IM45" s="978"/>
      <c r="IN45" s="978"/>
      <c r="IO45" s="966"/>
      <c r="IP45" s="966"/>
      <c r="IQ45" s="966"/>
      <c r="IR45" s="966"/>
      <c r="IS45" s="966"/>
      <c r="IT45" s="966"/>
      <c r="IU45" s="965"/>
      <c r="IV45" s="966"/>
      <c r="IW45" s="973"/>
      <c r="IX45" s="966"/>
      <c r="IY45" s="973"/>
      <c r="IZ45" s="978"/>
      <c r="JA45" s="978"/>
      <c r="JB45" s="966"/>
      <c r="JC45" s="966"/>
      <c r="JD45" s="966"/>
      <c r="JE45" s="966"/>
      <c r="JF45" s="966"/>
      <c r="JG45" s="966"/>
      <c r="JH45" s="965"/>
      <c r="JI45" s="966"/>
      <c r="JJ45" s="973"/>
      <c r="JK45" s="966"/>
      <c r="JL45" s="973"/>
      <c r="JM45" s="978"/>
      <c r="JN45" s="978"/>
      <c r="JO45" s="966"/>
      <c r="JP45" s="966"/>
      <c r="JQ45" s="966"/>
      <c r="JR45" s="966"/>
      <c r="JS45" s="966"/>
      <c r="JT45" s="966"/>
      <c r="JU45" s="965"/>
      <c r="JV45" s="966"/>
      <c r="JW45" s="973"/>
      <c r="JX45" s="966"/>
      <c r="JY45" s="973"/>
      <c r="JZ45" s="978"/>
      <c r="KA45" s="978"/>
      <c r="KB45" s="966"/>
      <c r="KC45" s="966"/>
      <c r="KD45" s="966"/>
      <c r="KE45" s="966"/>
      <c r="KF45" s="966"/>
      <c r="KG45" s="966"/>
      <c r="KH45" s="965"/>
      <c r="KI45" s="966"/>
      <c r="KJ45" s="973"/>
      <c r="KK45" s="966"/>
      <c r="KL45" s="973"/>
      <c r="KM45" s="978"/>
      <c r="KN45" s="978"/>
      <c r="KO45" s="966"/>
      <c r="KP45" s="966"/>
      <c r="KQ45" s="966"/>
      <c r="KR45" s="966"/>
      <c r="KS45" s="966"/>
      <c r="KT45" s="966"/>
      <c r="KU45" s="965"/>
      <c r="KV45" s="966"/>
      <c r="KW45" s="973"/>
      <c r="KX45" s="966"/>
      <c r="KY45" s="973"/>
      <c r="KZ45" s="978"/>
      <c r="LA45" s="978"/>
      <c r="LB45" s="966"/>
      <c r="LC45" s="966"/>
      <c r="LD45" s="966"/>
      <c r="LE45" s="966"/>
      <c r="LF45" s="966"/>
      <c r="LG45" s="966"/>
      <c r="LH45" s="965"/>
      <c r="LI45" s="966"/>
      <c r="LJ45" s="973"/>
      <c r="LK45" s="966"/>
      <c r="LL45" s="973"/>
      <c r="LM45" s="978"/>
      <c r="LN45" s="978"/>
      <c r="LO45" s="966"/>
      <c r="LP45" s="966"/>
      <c r="LQ45" s="966"/>
      <c r="LR45" s="966"/>
      <c r="LS45" s="966"/>
      <c r="LT45" s="966"/>
      <c r="LU45" s="965"/>
      <c r="LV45" s="966"/>
      <c r="LW45" s="973"/>
      <c r="LX45" s="966"/>
      <c r="LY45" s="973"/>
      <c r="LZ45" s="978"/>
      <c r="MA45" s="978"/>
      <c r="MB45" s="966"/>
      <c r="MC45" s="966"/>
      <c r="MD45" s="966"/>
      <c r="ME45" s="966"/>
      <c r="MF45" s="966"/>
      <c r="MG45" s="966"/>
    </row>
    <row r="46" spans="1:345">
      <c r="B46" s="196">
        <f>INDEX(Groups!$C$7:$C$65,MATCH(C46,Groups!$D$7:$D$65,0))</f>
        <v>44</v>
      </c>
      <c r="C46" s="197" t="str">
        <f>CalcF!$P$27</f>
        <v>Tunesië</v>
      </c>
      <c r="D46" s="198">
        <f>INDEX(Groups!$C$7:$C$65,MATCH(E46,Groups!$D$7:$D$65,0))</f>
        <v>7</v>
      </c>
      <c r="E46" s="197" t="str">
        <f>CalcF!$Q$27</f>
        <v>Nederland</v>
      </c>
      <c r="F46" s="199" t="str">
        <f>CalcF!$R$27</f>
        <v/>
      </c>
      <c r="G46" s="200" t="str">
        <f>CalcF!$S$27</f>
        <v/>
      </c>
      <c r="I46" s="196">
        <f t="shared" si="18"/>
        <v>44</v>
      </c>
      <c r="J46" s="197" t="str">
        <f t="shared" si="23"/>
        <v>Tunesië</v>
      </c>
      <c r="K46" s="198">
        <f t="shared" si="1"/>
        <v>7</v>
      </c>
      <c r="L46" s="197" t="str">
        <f t="shared" si="24"/>
        <v>Nederland</v>
      </c>
      <c r="M46" s="232"/>
      <c r="N46" s="232"/>
      <c r="O46" s="473"/>
      <c r="P46" s="198" t="str">
        <f t="shared" si="25"/>
        <v/>
      </c>
      <c r="Q46" s="198" t="str">
        <f>IF((P46&lt;&gt;""),IF(OR($F46&lt;&gt;$G46,PrSettings!$M$4="●"),(($F46-$G46)=(M46-N46))*1,0),"")</f>
        <v/>
      </c>
      <c r="R46" s="198" t="str">
        <f t="shared" si="26"/>
        <v/>
      </c>
      <c r="S46" s="198" t="str">
        <f>IF(P46&lt;&gt;"",IF(ABS($F46-$G46)&gt;=PrSettings!$M$7,(ABS($F46-$G46-M46+N46)&lt;=1)*1,IF(AND(P46,$F46=$G46,$F46&gt;=PrSettings!$M$6),(ABS(M46-$F46)&lt;=1)*1,IF(AND(P46,$F46+$G46&gt;=PrSettings!$M$8),(ABS(M46-$F46)+ABS(N46-$G46)&lt;=1)*1,""))),"")</f>
        <v/>
      </c>
      <c r="T46" s="990"/>
      <c r="U46" s="965"/>
      <c r="V46" s="966"/>
      <c r="W46" s="973"/>
      <c r="X46" s="966"/>
      <c r="Y46" s="973"/>
      <c r="Z46" s="978"/>
      <c r="AA46" s="978"/>
      <c r="AB46" s="966"/>
      <c r="AC46" s="966"/>
      <c r="AD46" s="966"/>
      <c r="AE46" s="966"/>
      <c r="AF46" s="966"/>
      <c r="AG46" s="966"/>
      <c r="AH46" s="965"/>
      <c r="AI46" s="966"/>
      <c r="AJ46" s="973"/>
      <c r="AK46" s="966"/>
      <c r="AL46" s="973"/>
      <c r="AM46" s="978"/>
      <c r="AN46" s="978"/>
      <c r="AO46" s="966"/>
      <c r="AP46" s="966"/>
      <c r="AQ46" s="966"/>
      <c r="AR46" s="966"/>
      <c r="AS46" s="966"/>
      <c r="AT46" s="966"/>
      <c r="AU46" s="965"/>
      <c r="AV46" s="966"/>
      <c r="AW46" s="973"/>
      <c r="AX46" s="966"/>
      <c r="AY46" s="973"/>
      <c r="AZ46" s="978"/>
      <c r="BA46" s="978"/>
      <c r="BB46" s="966"/>
      <c r="BC46" s="966"/>
      <c r="BD46" s="966"/>
      <c r="BE46" s="966"/>
      <c r="BF46" s="966"/>
      <c r="BG46" s="966"/>
      <c r="BH46" s="965"/>
      <c r="BI46" s="966"/>
      <c r="BJ46" s="973"/>
      <c r="BK46" s="966"/>
      <c r="BL46" s="973"/>
      <c r="BM46" s="978"/>
      <c r="BN46" s="978"/>
      <c r="BO46" s="966"/>
      <c r="BP46" s="966"/>
      <c r="BQ46" s="966"/>
      <c r="BR46" s="966"/>
      <c r="BS46" s="966"/>
      <c r="BT46" s="966"/>
      <c r="BU46" s="965"/>
      <c r="BV46" s="966"/>
      <c r="BW46" s="973"/>
      <c r="BX46" s="966"/>
      <c r="BY46" s="973"/>
      <c r="BZ46" s="978"/>
      <c r="CA46" s="978"/>
      <c r="CB46" s="966"/>
      <c r="CC46" s="966"/>
      <c r="CD46" s="966"/>
      <c r="CE46" s="966"/>
      <c r="CF46" s="966"/>
      <c r="CG46" s="966"/>
      <c r="CH46" s="965"/>
      <c r="CI46" s="966"/>
      <c r="CJ46" s="973"/>
      <c r="CK46" s="966"/>
      <c r="CL46" s="973"/>
      <c r="CM46" s="978"/>
      <c r="CN46" s="978"/>
      <c r="CO46" s="966"/>
      <c r="CP46" s="966"/>
      <c r="CQ46" s="966"/>
      <c r="CR46" s="966"/>
      <c r="CS46" s="966"/>
      <c r="CT46" s="966"/>
      <c r="CU46" s="965"/>
      <c r="CV46" s="966"/>
      <c r="CW46" s="973"/>
      <c r="CX46" s="966"/>
      <c r="CY46" s="973"/>
      <c r="CZ46" s="978"/>
      <c r="DA46" s="978"/>
      <c r="DB46" s="966"/>
      <c r="DC46" s="966"/>
      <c r="DD46" s="966"/>
      <c r="DE46" s="966"/>
      <c r="DF46" s="966"/>
      <c r="DG46" s="966"/>
      <c r="DH46" s="965"/>
      <c r="DI46" s="966"/>
      <c r="DJ46" s="973"/>
      <c r="DK46" s="966"/>
      <c r="DL46" s="973"/>
      <c r="DM46" s="978"/>
      <c r="DN46" s="978"/>
      <c r="DO46" s="966"/>
      <c r="DP46" s="966"/>
      <c r="DQ46" s="966"/>
      <c r="DR46" s="966"/>
      <c r="DS46" s="966"/>
      <c r="DT46" s="966"/>
      <c r="DU46" s="965"/>
      <c r="DV46" s="966"/>
      <c r="DW46" s="973"/>
      <c r="DX46" s="966"/>
      <c r="DY46" s="973"/>
      <c r="DZ46" s="978"/>
      <c r="EA46" s="978"/>
      <c r="EB46" s="966"/>
      <c r="EC46" s="966"/>
      <c r="ED46" s="966"/>
      <c r="EE46" s="966"/>
      <c r="EF46" s="966"/>
      <c r="EG46" s="966"/>
      <c r="EH46" s="965"/>
      <c r="EI46" s="966"/>
      <c r="EJ46" s="973"/>
      <c r="EK46" s="966"/>
      <c r="EL46" s="973"/>
      <c r="EM46" s="978"/>
      <c r="EN46" s="978"/>
      <c r="EO46" s="966"/>
      <c r="EP46" s="966"/>
      <c r="EQ46" s="966"/>
      <c r="ER46" s="966"/>
      <c r="ES46" s="966"/>
      <c r="ET46" s="966"/>
      <c r="EU46" s="965"/>
      <c r="EV46" s="966"/>
      <c r="EW46" s="973"/>
      <c r="EX46" s="966"/>
      <c r="EY46" s="973"/>
      <c r="EZ46" s="978"/>
      <c r="FA46" s="978"/>
      <c r="FB46" s="966"/>
      <c r="FC46" s="966"/>
      <c r="FD46" s="966"/>
      <c r="FE46" s="966"/>
      <c r="FF46" s="966"/>
      <c r="FG46" s="966"/>
      <c r="FH46" s="965"/>
      <c r="FI46" s="966"/>
      <c r="FJ46" s="973"/>
      <c r="FK46" s="966"/>
      <c r="FL46" s="973"/>
      <c r="FM46" s="978"/>
      <c r="FN46" s="978"/>
      <c r="FO46" s="966"/>
      <c r="FP46" s="966"/>
      <c r="FQ46" s="966"/>
      <c r="FR46" s="966"/>
      <c r="FS46" s="966"/>
      <c r="FT46" s="966"/>
      <c r="FU46" s="965"/>
      <c r="FV46" s="966"/>
      <c r="FW46" s="973"/>
      <c r="FX46" s="966"/>
      <c r="FY46" s="973"/>
      <c r="FZ46" s="978"/>
      <c r="GA46" s="978"/>
      <c r="GB46" s="966"/>
      <c r="GC46" s="966"/>
      <c r="GD46" s="966"/>
      <c r="GE46" s="966"/>
      <c r="GF46" s="966"/>
      <c r="GG46" s="966"/>
      <c r="GH46" s="965"/>
      <c r="GI46" s="966"/>
      <c r="GJ46" s="973"/>
      <c r="GK46" s="966"/>
      <c r="GL46" s="973"/>
      <c r="GM46" s="978"/>
      <c r="GN46" s="978"/>
      <c r="GO46" s="966"/>
      <c r="GP46" s="966"/>
      <c r="GQ46" s="966"/>
      <c r="GR46" s="966"/>
      <c r="GS46" s="966"/>
      <c r="GT46" s="966"/>
      <c r="GU46" s="965"/>
      <c r="GV46" s="966"/>
      <c r="GW46" s="973"/>
      <c r="GX46" s="966"/>
      <c r="GY46" s="973"/>
      <c r="GZ46" s="978"/>
      <c r="HA46" s="978"/>
      <c r="HB46" s="966"/>
      <c r="HC46" s="966"/>
      <c r="HD46" s="966"/>
      <c r="HE46" s="966"/>
      <c r="HF46" s="966"/>
      <c r="HG46" s="966"/>
      <c r="HH46" s="965"/>
      <c r="HI46" s="966"/>
      <c r="HJ46" s="973"/>
      <c r="HK46" s="966"/>
      <c r="HL46" s="973"/>
      <c r="HM46" s="978"/>
      <c r="HN46" s="978"/>
      <c r="HO46" s="966"/>
      <c r="HP46" s="966"/>
      <c r="HQ46" s="966"/>
      <c r="HR46" s="966"/>
      <c r="HS46" s="966"/>
      <c r="HT46" s="966"/>
      <c r="HU46" s="965"/>
      <c r="HV46" s="966"/>
      <c r="HW46" s="973"/>
      <c r="HX46" s="966"/>
      <c r="HY46" s="973"/>
      <c r="HZ46" s="978"/>
      <c r="IA46" s="978"/>
      <c r="IB46" s="966"/>
      <c r="IC46" s="966"/>
      <c r="ID46" s="966"/>
      <c r="IE46" s="966"/>
      <c r="IF46" s="966"/>
      <c r="IG46" s="966"/>
      <c r="IH46" s="965"/>
      <c r="II46" s="966"/>
      <c r="IJ46" s="973"/>
      <c r="IK46" s="966"/>
      <c r="IL46" s="973"/>
      <c r="IM46" s="978"/>
      <c r="IN46" s="978"/>
      <c r="IO46" s="966"/>
      <c r="IP46" s="966"/>
      <c r="IQ46" s="966"/>
      <c r="IR46" s="966"/>
      <c r="IS46" s="966"/>
      <c r="IT46" s="966"/>
      <c r="IU46" s="965"/>
      <c r="IV46" s="966"/>
      <c r="IW46" s="973"/>
      <c r="IX46" s="966"/>
      <c r="IY46" s="973"/>
      <c r="IZ46" s="978"/>
      <c r="JA46" s="978"/>
      <c r="JB46" s="966"/>
      <c r="JC46" s="966"/>
      <c r="JD46" s="966"/>
      <c r="JE46" s="966"/>
      <c r="JF46" s="966"/>
      <c r="JG46" s="966"/>
      <c r="JH46" s="965"/>
      <c r="JI46" s="966"/>
      <c r="JJ46" s="973"/>
      <c r="JK46" s="966"/>
      <c r="JL46" s="973"/>
      <c r="JM46" s="978"/>
      <c r="JN46" s="978"/>
      <c r="JO46" s="966"/>
      <c r="JP46" s="966"/>
      <c r="JQ46" s="966"/>
      <c r="JR46" s="966"/>
      <c r="JS46" s="966"/>
      <c r="JT46" s="966"/>
      <c r="JU46" s="965"/>
      <c r="JV46" s="966"/>
      <c r="JW46" s="973"/>
      <c r="JX46" s="966"/>
      <c r="JY46" s="973"/>
      <c r="JZ46" s="978"/>
      <c r="KA46" s="978"/>
      <c r="KB46" s="966"/>
      <c r="KC46" s="966"/>
      <c r="KD46" s="966"/>
      <c r="KE46" s="966"/>
      <c r="KF46" s="966"/>
      <c r="KG46" s="966"/>
      <c r="KH46" s="965"/>
      <c r="KI46" s="966"/>
      <c r="KJ46" s="973"/>
      <c r="KK46" s="966"/>
      <c r="KL46" s="973"/>
      <c r="KM46" s="978"/>
      <c r="KN46" s="978"/>
      <c r="KO46" s="966"/>
      <c r="KP46" s="966"/>
      <c r="KQ46" s="966"/>
      <c r="KR46" s="966"/>
      <c r="KS46" s="966"/>
      <c r="KT46" s="966"/>
      <c r="KU46" s="965"/>
      <c r="KV46" s="966"/>
      <c r="KW46" s="973"/>
      <c r="KX46" s="966"/>
      <c r="KY46" s="973"/>
      <c r="KZ46" s="978"/>
      <c r="LA46" s="978"/>
      <c r="LB46" s="966"/>
      <c r="LC46" s="966"/>
      <c r="LD46" s="966"/>
      <c r="LE46" s="966"/>
      <c r="LF46" s="966"/>
      <c r="LG46" s="966"/>
      <c r="LH46" s="965"/>
      <c r="LI46" s="966"/>
      <c r="LJ46" s="973"/>
      <c r="LK46" s="966"/>
      <c r="LL46" s="973"/>
      <c r="LM46" s="978"/>
      <c r="LN46" s="978"/>
      <c r="LO46" s="966"/>
      <c r="LP46" s="966"/>
      <c r="LQ46" s="966"/>
      <c r="LR46" s="966"/>
      <c r="LS46" s="966"/>
      <c r="LT46" s="966"/>
      <c r="LU46" s="965"/>
      <c r="LV46" s="966"/>
      <c r="LW46" s="973"/>
      <c r="LX46" s="966"/>
      <c r="LY46" s="973"/>
      <c r="LZ46" s="978"/>
      <c r="MA46" s="978"/>
      <c r="MB46" s="966"/>
      <c r="MC46" s="966"/>
      <c r="MD46" s="966"/>
      <c r="ME46" s="966"/>
      <c r="MF46" s="966"/>
      <c r="MG46" s="966"/>
    </row>
    <row r="47" spans="1:345" ht="24" customHeight="1">
      <c r="A47" s="195"/>
      <c r="B47" s="205" t="str">
        <f>Language!$E$130&amp;" G"</f>
        <v>Groep G</v>
      </c>
      <c r="C47" s="206"/>
      <c r="D47" s="207"/>
      <c r="E47" s="208"/>
      <c r="F47" s="209"/>
      <c r="G47" s="210"/>
      <c r="I47" s="205" t="str">
        <f t="shared" si="18"/>
        <v>Groep G</v>
      </c>
      <c r="J47" s="207"/>
      <c r="K47" s="207"/>
      <c r="L47" s="208"/>
      <c r="M47" s="236"/>
      <c r="N47" s="237"/>
      <c r="O47" s="209"/>
      <c r="P47" s="220"/>
      <c r="Q47" s="220"/>
      <c r="R47" s="208"/>
      <c r="S47" s="208"/>
      <c r="T47" s="987"/>
      <c r="U47" s="965"/>
      <c r="V47" s="972"/>
      <c r="W47" s="972"/>
      <c r="X47" s="972"/>
      <c r="Y47" s="973"/>
      <c r="Z47" s="974"/>
      <c r="AA47" s="975"/>
      <c r="AB47" s="976"/>
      <c r="AC47" s="977"/>
      <c r="AD47" s="977"/>
      <c r="AE47" s="973"/>
      <c r="AF47" s="973"/>
      <c r="AG47" s="973"/>
      <c r="AH47" s="965"/>
      <c r="AI47" s="972"/>
      <c r="AJ47" s="972"/>
      <c r="AK47" s="972"/>
      <c r="AL47" s="973"/>
      <c r="AM47" s="974"/>
      <c r="AN47" s="975"/>
      <c r="AO47" s="976"/>
      <c r="AP47" s="977"/>
      <c r="AQ47" s="977"/>
      <c r="AR47" s="973"/>
      <c r="AS47" s="973"/>
      <c r="AT47" s="973"/>
      <c r="AU47" s="965"/>
      <c r="AV47" s="972"/>
      <c r="AW47" s="972"/>
      <c r="AX47" s="972"/>
      <c r="AY47" s="973"/>
      <c r="AZ47" s="974"/>
      <c r="BA47" s="975"/>
      <c r="BB47" s="976"/>
      <c r="BC47" s="977"/>
      <c r="BD47" s="977"/>
      <c r="BE47" s="973"/>
      <c r="BF47" s="973"/>
      <c r="BG47" s="973"/>
      <c r="BH47" s="965"/>
      <c r="BI47" s="972"/>
      <c r="BJ47" s="972"/>
      <c r="BK47" s="972"/>
      <c r="BL47" s="973"/>
      <c r="BM47" s="974"/>
      <c r="BN47" s="975"/>
      <c r="BO47" s="976"/>
      <c r="BP47" s="977"/>
      <c r="BQ47" s="977"/>
      <c r="BR47" s="973"/>
      <c r="BS47" s="973"/>
      <c r="BT47" s="973"/>
      <c r="BU47" s="965"/>
      <c r="BV47" s="972"/>
      <c r="BW47" s="972"/>
      <c r="BX47" s="972"/>
      <c r="BY47" s="973"/>
      <c r="BZ47" s="974"/>
      <c r="CA47" s="975"/>
      <c r="CB47" s="976"/>
      <c r="CC47" s="977"/>
      <c r="CD47" s="977"/>
      <c r="CE47" s="973"/>
      <c r="CF47" s="973"/>
      <c r="CG47" s="973"/>
      <c r="CH47" s="965"/>
      <c r="CI47" s="972"/>
      <c r="CJ47" s="972"/>
      <c r="CK47" s="972"/>
      <c r="CL47" s="973"/>
      <c r="CM47" s="974"/>
      <c r="CN47" s="975"/>
      <c r="CO47" s="976"/>
      <c r="CP47" s="977"/>
      <c r="CQ47" s="977"/>
      <c r="CR47" s="973"/>
      <c r="CS47" s="973"/>
      <c r="CT47" s="973"/>
      <c r="CU47" s="965"/>
      <c r="CV47" s="972"/>
      <c r="CW47" s="972"/>
      <c r="CX47" s="972"/>
      <c r="CY47" s="973"/>
      <c r="CZ47" s="974"/>
      <c r="DA47" s="975"/>
      <c r="DB47" s="976"/>
      <c r="DC47" s="977"/>
      <c r="DD47" s="977"/>
      <c r="DE47" s="973"/>
      <c r="DF47" s="973"/>
      <c r="DG47" s="973"/>
      <c r="DH47" s="965"/>
      <c r="DI47" s="972"/>
      <c r="DJ47" s="972"/>
      <c r="DK47" s="972"/>
      <c r="DL47" s="973"/>
      <c r="DM47" s="974"/>
      <c r="DN47" s="975"/>
      <c r="DO47" s="976"/>
      <c r="DP47" s="977"/>
      <c r="DQ47" s="977"/>
      <c r="DR47" s="973"/>
      <c r="DS47" s="973"/>
      <c r="DT47" s="973"/>
      <c r="DU47" s="965"/>
      <c r="DV47" s="972"/>
      <c r="DW47" s="972"/>
      <c r="DX47" s="972"/>
      <c r="DY47" s="973"/>
      <c r="DZ47" s="974"/>
      <c r="EA47" s="975"/>
      <c r="EB47" s="976"/>
      <c r="EC47" s="977"/>
      <c r="ED47" s="977"/>
      <c r="EE47" s="973"/>
      <c r="EF47" s="973"/>
      <c r="EG47" s="973"/>
      <c r="EH47" s="965"/>
      <c r="EI47" s="972"/>
      <c r="EJ47" s="972"/>
      <c r="EK47" s="972"/>
      <c r="EL47" s="973"/>
      <c r="EM47" s="974"/>
      <c r="EN47" s="975"/>
      <c r="EO47" s="976"/>
      <c r="EP47" s="977"/>
      <c r="EQ47" s="977"/>
      <c r="ER47" s="973"/>
      <c r="ES47" s="973"/>
      <c r="ET47" s="973"/>
      <c r="EU47" s="965"/>
      <c r="EV47" s="972"/>
      <c r="EW47" s="972"/>
      <c r="EX47" s="972"/>
      <c r="EY47" s="973"/>
      <c r="EZ47" s="974"/>
      <c r="FA47" s="975"/>
      <c r="FB47" s="976"/>
      <c r="FC47" s="977"/>
      <c r="FD47" s="977"/>
      <c r="FE47" s="973"/>
      <c r="FF47" s="973"/>
      <c r="FG47" s="973"/>
      <c r="FH47" s="965"/>
      <c r="FI47" s="972"/>
      <c r="FJ47" s="972"/>
      <c r="FK47" s="972"/>
      <c r="FL47" s="973"/>
      <c r="FM47" s="974"/>
      <c r="FN47" s="975"/>
      <c r="FO47" s="976"/>
      <c r="FP47" s="977"/>
      <c r="FQ47" s="977"/>
      <c r="FR47" s="973"/>
      <c r="FS47" s="973"/>
      <c r="FT47" s="973"/>
      <c r="FU47" s="965"/>
      <c r="FV47" s="972"/>
      <c r="FW47" s="972"/>
      <c r="FX47" s="972"/>
      <c r="FY47" s="973"/>
      <c r="FZ47" s="974"/>
      <c r="GA47" s="975"/>
      <c r="GB47" s="976"/>
      <c r="GC47" s="977"/>
      <c r="GD47" s="977"/>
      <c r="GE47" s="973"/>
      <c r="GF47" s="973"/>
      <c r="GG47" s="973"/>
      <c r="GH47" s="965"/>
      <c r="GI47" s="972"/>
      <c r="GJ47" s="972"/>
      <c r="GK47" s="972"/>
      <c r="GL47" s="973"/>
      <c r="GM47" s="974"/>
      <c r="GN47" s="975"/>
      <c r="GO47" s="976"/>
      <c r="GP47" s="977"/>
      <c r="GQ47" s="977"/>
      <c r="GR47" s="973"/>
      <c r="GS47" s="973"/>
      <c r="GT47" s="973"/>
      <c r="GU47" s="965"/>
      <c r="GV47" s="972"/>
      <c r="GW47" s="972"/>
      <c r="GX47" s="972"/>
      <c r="GY47" s="973"/>
      <c r="GZ47" s="974"/>
      <c r="HA47" s="975"/>
      <c r="HB47" s="976"/>
      <c r="HC47" s="977"/>
      <c r="HD47" s="977"/>
      <c r="HE47" s="973"/>
      <c r="HF47" s="973"/>
      <c r="HG47" s="973"/>
      <c r="HH47" s="965"/>
      <c r="HI47" s="972"/>
      <c r="HJ47" s="972"/>
      <c r="HK47" s="972"/>
      <c r="HL47" s="973"/>
      <c r="HM47" s="974"/>
      <c r="HN47" s="975"/>
      <c r="HO47" s="976"/>
      <c r="HP47" s="977"/>
      <c r="HQ47" s="977"/>
      <c r="HR47" s="973"/>
      <c r="HS47" s="973"/>
      <c r="HT47" s="973"/>
      <c r="HU47" s="965"/>
      <c r="HV47" s="972"/>
      <c r="HW47" s="972"/>
      <c r="HX47" s="972"/>
      <c r="HY47" s="973"/>
      <c r="HZ47" s="974"/>
      <c r="IA47" s="975"/>
      <c r="IB47" s="976"/>
      <c r="IC47" s="977"/>
      <c r="ID47" s="977"/>
      <c r="IE47" s="973"/>
      <c r="IF47" s="973"/>
      <c r="IG47" s="973"/>
      <c r="IH47" s="965"/>
      <c r="II47" s="972"/>
      <c r="IJ47" s="972"/>
      <c r="IK47" s="972"/>
      <c r="IL47" s="973"/>
      <c r="IM47" s="974"/>
      <c r="IN47" s="975"/>
      <c r="IO47" s="976"/>
      <c r="IP47" s="977"/>
      <c r="IQ47" s="977"/>
      <c r="IR47" s="973"/>
      <c r="IS47" s="973"/>
      <c r="IT47" s="973"/>
      <c r="IU47" s="965"/>
      <c r="IV47" s="972"/>
      <c r="IW47" s="972"/>
      <c r="IX47" s="972"/>
      <c r="IY47" s="973"/>
      <c r="IZ47" s="974"/>
      <c r="JA47" s="975"/>
      <c r="JB47" s="976"/>
      <c r="JC47" s="977"/>
      <c r="JD47" s="977"/>
      <c r="JE47" s="973"/>
      <c r="JF47" s="973"/>
      <c r="JG47" s="973"/>
      <c r="JH47" s="965"/>
      <c r="JI47" s="972"/>
      <c r="JJ47" s="972"/>
      <c r="JK47" s="972"/>
      <c r="JL47" s="973"/>
      <c r="JM47" s="974"/>
      <c r="JN47" s="975"/>
      <c r="JO47" s="976"/>
      <c r="JP47" s="977"/>
      <c r="JQ47" s="977"/>
      <c r="JR47" s="973"/>
      <c r="JS47" s="973"/>
      <c r="JT47" s="973"/>
      <c r="JU47" s="965"/>
      <c r="JV47" s="972"/>
      <c r="JW47" s="972"/>
      <c r="JX47" s="972"/>
      <c r="JY47" s="973"/>
      <c r="JZ47" s="974"/>
      <c r="KA47" s="975"/>
      <c r="KB47" s="976"/>
      <c r="KC47" s="977"/>
      <c r="KD47" s="977"/>
      <c r="KE47" s="973"/>
      <c r="KF47" s="973"/>
      <c r="KG47" s="973"/>
      <c r="KH47" s="965"/>
      <c r="KI47" s="972"/>
      <c r="KJ47" s="972"/>
      <c r="KK47" s="972"/>
      <c r="KL47" s="973"/>
      <c r="KM47" s="974"/>
      <c r="KN47" s="975"/>
      <c r="KO47" s="976"/>
      <c r="KP47" s="977"/>
      <c r="KQ47" s="977"/>
      <c r="KR47" s="973"/>
      <c r="KS47" s="973"/>
      <c r="KT47" s="973"/>
      <c r="KU47" s="965"/>
      <c r="KV47" s="972"/>
      <c r="KW47" s="972"/>
      <c r="KX47" s="972"/>
      <c r="KY47" s="973"/>
      <c r="KZ47" s="974"/>
      <c r="LA47" s="975"/>
      <c r="LB47" s="976"/>
      <c r="LC47" s="977"/>
      <c r="LD47" s="977"/>
      <c r="LE47" s="973"/>
      <c r="LF47" s="973"/>
      <c r="LG47" s="973"/>
      <c r="LH47" s="965"/>
      <c r="LI47" s="972"/>
      <c r="LJ47" s="972"/>
      <c r="LK47" s="972"/>
      <c r="LL47" s="973"/>
      <c r="LM47" s="974"/>
      <c r="LN47" s="975"/>
      <c r="LO47" s="976"/>
      <c r="LP47" s="977"/>
      <c r="LQ47" s="977"/>
      <c r="LR47" s="973"/>
      <c r="LS47" s="973"/>
      <c r="LT47" s="973"/>
      <c r="LU47" s="965"/>
      <c r="LV47" s="972"/>
      <c r="LW47" s="972"/>
      <c r="LX47" s="972"/>
      <c r="LY47" s="973"/>
      <c r="LZ47" s="974"/>
      <c r="MA47" s="975"/>
      <c r="MB47" s="976"/>
      <c r="MC47" s="977"/>
      <c r="MD47" s="977"/>
      <c r="ME47" s="973"/>
      <c r="MF47" s="973"/>
      <c r="MG47" s="973"/>
    </row>
    <row r="48" spans="1:345">
      <c r="B48" s="196">
        <f>INDEX(Groups!$C$7:$C$65,MATCH(C48,Groups!$D$7:$D$65,0))</f>
        <v>9</v>
      </c>
      <c r="C48" s="197" t="str">
        <f>CalcG!$P$22</f>
        <v>België</v>
      </c>
      <c r="D48" s="198">
        <f>INDEX(Groups!$C$7:$C$65,MATCH(E48,Groups!$D$7:$D$65,0))</f>
        <v>29</v>
      </c>
      <c r="E48" s="197" t="str">
        <f>CalcG!$Q$22</f>
        <v>Egypte</v>
      </c>
      <c r="F48" s="199" t="str">
        <f>CalcG!$R$22</f>
        <v/>
      </c>
      <c r="G48" s="200" t="str">
        <f>CalcG!$S$22</f>
        <v/>
      </c>
      <c r="I48" s="196">
        <f t="shared" si="18"/>
        <v>9</v>
      </c>
      <c r="J48" s="197" t="str">
        <f t="shared" ref="J48:J53" si="27">$C48</f>
        <v>België</v>
      </c>
      <c r="K48" s="198">
        <f t="shared" si="1"/>
        <v>29</v>
      </c>
      <c r="L48" s="197" t="str">
        <f t="shared" ref="L48:L53" si="28">$E48</f>
        <v>Egypte</v>
      </c>
      <c r="M48" s="232"/>
      <c r="N48" s="232"/>
      <c r="O48" s="227"/>
      <c r="P48" s="198" t="str">
        <f t="shared" ref="P48:P53" si="29">IF(($F48&lt;&gt;"")*($G48&lt;&gt;"")*(M48&lt;&gt;"")*(N48&lt;&gt;""),($F48&gt;$G48)*(M48&gt;N48)+($F48=$G48)*(M48=N48)+($F48&lt;$G48)*(M48&lt;N48),"")</f>
        <v/>
      </c>
      <c r="Q48" s="198" t="str">
        <f>IF((P48&lt;&gt;""),IF(OR($F48&lt;&gt;$G48,PrSettings!$M$4="●"),(($F48-$G48)=(M48-N48))*1,0),"")</f>
        <v/>
      </c>
      <c r="R48" s="198" t="str">
        <f t="shared" ref="R48:R53" si="30">IF((P48&lt;&gt;""),($F48=M48)*($G48=N48),"")</f>
        <v/>
      </c>
      <c r="S48" s="198" t="str">
        <f>IF(P48&lt;&gt;"",IF(ABS($F48-$G48)&gt;=PrSettings!$M$7,(ABS($F48-$G48-M48+N48)&lt;=1)*1,IF(AND(P48,$F48=$G48,$F48&gt;=PrSettings!$M$6),(ABS(M48-$F48)&lt;=1)*1,IF(AND(P48,$F48+$G48&gt;=PrSettings!$M$8),(ABS(M48-$F48)+ABS(N48-$G48)&lt;=1)*1,""))),"")</f>
        <v/>
      </c>
      <c r="T48" s="988"/>
      <c r="U48" s="965"/>
      <c r="V48" s="966"/>
      <c r="W48" s="973"/>
      <c r="X48" s="966"/>
      <c r="Y48" s="973"/>
      <c r="Z48" s="978"/>
      <c r="AA48" s="978"/>
      <c r="AB48" s="966"/>
      <c r="AC48" s="966"/>
      <c r="AD48" s="966"/>
      <c r="AE48" s="966"/>
      <c r="AF48" s="966"/>
      <c r="AG48" s="966"/>
      <c r="AH48" s="965"/>
      <c r="AI48" s="966"/>
      <c r="AJ48" s="973"/>
      <c r="AK48" s="966"/>
      <c r="AL48" s="973"/>
      <c r="AM48" s="978"/>
      <c r="AN48" s="978"/>
      <c r="AO48" s="966"/>
      <c r="AP48" s="966"/>
      <c r="AQ48" s="966"/>
      <c r="AR48" s="966"/>
      <c r="AS48" s="966"/>
      <c r="AT48" s="966"/>
      <c r="AU48" s="965"/>
      <c r="AV48" s="966"/>
      <c r="AW48" s="973"/>
      <c r="AX48" s="966"/>
      <c r="AY48" s="973"/>
      <c r="AZ48" s="978"/>
      <c r="BA48" s="978"/>
      <c r="BB48" s="966"/>
      <c r="BC48" s="966"/>
      <c r="BD48" s="966"/>
      <c r="BE48" s="966"/>
      <c r="BF48" s="966"/>
      <c r="BG48" s="966"/>
      <c r="BH48" s="965"/>
      <c r="BI48" s="966"/>
      <c r="BJ48" s="973"/>
      <c r="BK48" s="966"/>
      <c r="BL48" s="973"/>
      <c r="BM48" s="978"/>
      <c r="BN48" s="978"/>
      <c r="BO48" s="966"/>
      <c r="BP48" s="966"/>
      <c r="BQ48" s="966"/>
      <c r="BR48" s="966"/>
      <c r="BS48" s="966"/>
      <c r="BT48" s="966"/>
      <c r="BU48" s="965"/>
      <c r="BV48" s="966"/>
      <c r="BW48" s="973"/>
      <c r="BX48" s="966"/>
      <c r="BY48" s="973"/>
      <c r="BZ48" s="978"/>
      <c r="CA48" s="978"/>
      <c r="CB48" s="966"/>
      <c r="CC48" s="966"/>
      <c r="CD48" s="966"/>
      <c r="CE48" s="966"/>
      <c r="CF48" s="966"/>
      <c r="CG48" s="966"/>
      <c r="CH48" s="965"/>
      <c r="CI48" s="966"/>
      <c r="CJ48" s="973"/>
      <c r="CK48" s="966"/>
      <c r="CL48" s="973"/>
      <c r="CM48" s="978"/>
      <c r="CN48" s="978"/>
      <c r="CO48" s="966"/>
      <c r="CP48" s="966"/>
      <c r="CQ48" s="966"/>
      <c r="CR48" s="966"/>
      <c r="CS48" s="966"/>
      <c r="CT48" s="966"/>
      <c r="CU48" s="965"/>
      <c r="CV48" s="966"/>
      <c r="CW48" s="973"/>
      <c r="CX48" s="966"/>
      <c r="CY48" s="973"/>
      <c r="CZ48" s="978"/>
      <c r="DA48" s="978"/>
      <c r="DB48" s="966"/>
      <c r="DC48" s="966"/>
      <c r="DD48" s="966"/>
      <c r="DE48" s="966"/>
      <c r="DF48" s="966"/>
      <c r="DG48" s="966"/>
      <c r="DH48" s="965"/>
      <c r="DI48" s="966"/>
      <c r="DJ48" s="973"/>
      <c r="DK48" s="966"/>
      <c r="DL48" s="973"/>
      <c r="DM48" s="978"/>
      <c r="DN48" s="978"/>
      <c r="DO48" s="966"/>
      <c r="DP48" s="966"/>
      <c r="DQ48" s="966"/>
      <c r="DR48" s="966"/>
      <c r="DS48" s="966"/>
      <c r="DT48" s="966"/>
      <c r="DU48" s="965"/>
      <c r="DV48" s="966"/>
      <c r="DW48" s="973"/>
      <c r="DX48" s="966"/>
      <c r="DY48" s="973"/>
      <c r="DZ48" s="978"/>
      <c r="EA48" s="978"/>
      <c r="EB48" s="966"/>
      <c r="EC48" s="966"/>
      <c r="ED48" s="966"/>
      <c r="EE48" s="966"/>
      <c r="EF48" s="966"/>
      <c r="EG48" s="966"/>
      <c r="EH48" s="965"/>
      <c r="EI48" s="966"/>
      <c r="EJ48" s="973"/>
      <c r="EK48" s="966"/>
      <c r="EL48" s="973"/>
      <c r="EM48" s="978"/>
      <c r="EN48" s="978"/>
      <c r="EO48" s="966"/>
      <c r="EP48" s="966"/>
      <c r="EQ48" s="966"/>
      <c r="ER48" s="966"/>
      <c r="ES48" s="966"/>
      <c r="ET48" s="966"/>
      <c r="EU48" s="965"/>
      <c r="EV48" s="966"/>
      <c r="EW48" s="973"/>
      <c r="EX48" s="966"/>
      <c r="EY48" s="973"/>
      <c r="EZ48" s="978"/>
      <c r="FA48" s="978"/>
      <c r="FB48" s="966"/>
      <c r="FC48" s="966"/>
      <c r="FD48" s="966"/>
      <c r="FE48" s="966"/>
      <c r="FF48" s="966"/>
      <c r="FG48" s="966"/>
      <c r="FH48" s="965"/>
      <c r="FI48" s="966"/>
      <c r="FJ48" s="973"/>
      <c r="FK48" s="966"/>
      <c r="FL48" s="973"/>
      <c r="FM48" s="978"/>
      <c r="FN48" s="978"/>
      <c r="FO48" s="966"/>
      <c r="FP48" s="966"/>
      <c r="FQ48" s="966"/>
      <c r="FR48" s="966"/>
      <c r="FS48" s="966"/>
      <c r="FT48" s="966"/>
      <c r="FU48" s="965"/>
      <c r="FV48" s="966"/>
      <c r="FW48" s="973"/>
      <c r="FX48" s="966"/>
      <c r="FY48" s="973"/>
      <c r="FZ48" s="978"/>
      <c r="GA48" s="978"/>
      <c r="GB48" s="966"/>
      <c r="GC48" s="966"/>
      <c r="GD48" s="966"/>
      <c r="GE48" s="966"/>
      <c r="GF48" s="966"/>
      <c r="GG48" s="966"/>
      <c r="GH48" s="965"/>
      <c r="GI48" s="966"/>
      <c r="GJ48" s="973"/>
      <c r="GK48" s="966"/>
      <c r="GL48" s="973"/>
      <c r="GM48" s="978"/>
      <c r="GN48" s="978"/>
      <c r="GO48" s="966"/>
      <c r="GP48" s="966"/>
      <c r="GQ48" s="966"/>
      <c r="GR48" s="966"/>
      <c r="GS48" s="966"/>
      <c r="GT48" s="966"/>
      <c r="GU48" s="965"/>
      <c r="GV48" s="966"/>
      <c r="GW48" s="973"/>
      <c r="GX48" s="966"/>
      <c r="GY48" s="973"/>
      <c r="GZ48" s="978"/>
      <c r="HA48" s="978"/>
      <c r="HB48" s="966"/>
      <c r="HC48" s="966"/>
      <c r="HD48" s="966"/>
      <c r="HE48" s="966"/>
      <c r="HF48" s="966"/>
      <c r="HG48" s="966"/>
      <c r="HH48" s="965"/>
      <c r="HI48" s="966"/>
      <c r="HJ48" s="973"/>
      <c r="HK48" s="966"/>
      <c r="HL48" s="973"/>
      <c r="HM48" s="978"/>
      <c r="HN48" s="978"/>
      <c r="HO48" s="966"/>
      <c r="HP48" s="966"/>
      <c r="HQ48" s="966"/>
      <c r="HR48" s="966"/>
      <c r="HS48" s="966"/>
      <c r="HT48" s="966"/>
      <c r="HU48" s="965"/>
      <c r="HV48" s="966"/>
      <c r="HW48" s="973"/>
      <c r="HX48" s="966"/>
      <c r="HY48" s="973"/>
      <c r="HZ48" s="978"/>
      <c r="IA48" s="978"/>
      <c r="IB48" s="966"/>
      <c r="IC48" s="966"/>
      <c r="ID48" s="966"/>
      <c r="IE48" s="966"/>
      <c r="IF48" s="966"/>
      <c r="IG48" s="966"/>
      <c r="IH48" s="965"/>
      <c r="II48" s="966"/>
      <c r="IJ48" s="973"/>
      <c r="IK48" s="966"/>
      <c r="IL48" s="973"/>
      <c r="IM48" s="978"/>
      <c r="IN48" s="978"/>
      <c r="IO48" s="966"/>
      <c r="IP48" s="966"/>
      <c r="IQ48" s="966"/>
      <c r="IR48" s="966"/>
      <c r="IS48" s="966"/>
      <c r="IT48" s="966"/>
      <c r="IU48" s="965"/>
      <c r="IV48" s="966"/>
      <c r="IW48" s="973"/>
      <c r="IX48" s="966"/>
      <c r="IY48" s="973"/>
      <c r="IZ48" s="978"/>
      <c r="JA48" s="978"/>
      <c r="JB48" s="966"/>
      <c r="JC48" s="966"/>
      <c r="JD48" s="966"/>
      <c r="JE48" s="966"/>
      <c r="JF48" s="966"/>
      <c r="JG48" s="966"/>
      <c r="JH48" s="965"/>
      <c r="JI48" s="966"/>
      <c r="JJ48" s="973"/>
      <c r="JK48" s="966"/>
      <c r="JL48" s="973"/>
      <c r="JM48" s="978"/>
      <c r="JN48" s="978"/>
      <c r="JO48" s="966"/>
      <c r="JP48" s="966"/>
      <c r="JQ48" s="966"/>
      <c r="JR48" s="966"/>
      <c r="JS48" s="966"/>
      <c r="JT48" s="966"/>
      <c r="JU48" s="965"/>
      <c r="JV48" s="966"/>
      <c r="JW48" s="973"/>
      <c r="JX48" s="966"/>
      <c r="JY48" s="973"/>
      <c r="JZ48" s="978"/>
      <c r="KA48" s="978"/>
      <c r="KB48" s="966"/>
      <c r="KC48" s="966"/>
      <c r="KD48" s="966"/>
      <c r="KE48" s="966"/>
      <c r="KF48" s="966"/>
      <c r="KG48" s="966"/>
      <c r="KH48" s="965"/>
      <c r="KI48" s="966"/>
      <c r="KJ48" s="973"/>
      <c r="KK48" s="966"/>
      <c r="KL48" s="973"/>
      <c r="KM48" s="978"/>
      <c r="KN48" s="978"/>
      <c r="KO48" s="966"/>
      <c r="KP48" s="966"/>
      <c r="KQ48" s="966"/>
      <c r="KR48" s="966"/>
      <c r="KS48" s="966"/>
      <c r="KT48" s="966"/>
      <c r="KU48" s="965"/>
      <c r="KV48" s="966"/>
      <c r="KW48" s="973"/>
      <c r="KX48" s="966"/>
      <c r="KY48" s="973"/>
      <c r="KZ48" s="978"/>
      <c r="LA48" s="978"/>
      <c r="LB48" s="966"/>
      <c r="LC48" s="966"/>
      <c r="LD48" s="966"/>
      <c r="LE48" s="966"/>
      <c r="LF48" s="966"/>
      <c r="LG48" s="966"/>
      <c r="LH48" s="965"/>
      <c r="LI48" s="966"/>
      <c r="LJ48" s="973"/>
      <c r="LK48" s="966"/>
      <c r="LL48" s="973"/>
      <c r="LM48" s="978"/>
      <c r="LN48" s="978"/>
      <c r="LO48" s="966"/>
      <c r="LP48" s="966"/>
      <c r="LQ48" s="966"/>
      <c r="LR48" s="966"/>
      <c r="LS48" s="966"/>
      <c r="LT48" s="966"/>
      <c r="LU48" s="965"/>
      <c r="LV48" s="966"/>
      <c r="LW48" s="973"/>
      <c r="LX48" s="966"/>
      <c r="LY48" s="973"/>
      <c r="LZ48" s="978"/>
      <c r="MA48" s="978"/>
      <c r="MB48" s="966"/>
      <c r="MC48" s="966"/>
      <c r="MD48" s="966"/>
      <c r="ME48" s="966"/>
      <c r="MF48" s="966"/>
      <c r="MG48" s="966"/>
    </row>
    <row r="49" spans="2:345">
      <c r="B49" s="196">
        <f>INDEX(Groups!$C$7:$C$65,MATCH(C49,Groups!$D$7:$D$65,0))</f>
        <v>21</v>
      </c>
      <c r="C49" s="197" t="str">
        <f>CalcG!$P$23</f>
        <v>IR Iran</v>
      </c>
      <c r="D49" s="198">
        <f>INDEX(Groups!$C$7:$C$65,MATCH(E49,Groups!$D$7:$D$65,0))</f>
        <v>85</v>
      </c>
      <c r="E49" s="197" t="str">
        <f>CalcG!$Q$23</f>
        <v>Nieuw-Zeeland</v>
      </c>
      <c r="F49" s="725" t="str">
        <f>CalcG!$R$23</f>
        <v/>
      </c>
      <c r="G49" s="200" t="str">
        <f>CalcG!$S$23</f>
        <v/>
      </c>
      <c r="I49" s="196">
        <f t="shared" si="18"/>
        <v>21</v>
      </c>
      <c r="J49" s="197" t="str">
        <f t="shared" si="27"/>
        <v>IR Iran</v>
      </c>
      <c r="K49" s="198">
        <f t="shared" si="1"/>
        <v>85</v>
      </c>
      <c r="L49" s="197" t="str">
        <f t="shared" si="28"/>
        <v>Nieuw-Zeeland</v>
      </c>
      <c r="M49" s="232"/>
      <c r="N49" s="232"/>
      <c r="O49" s="228"/>
      <c r="P49" s="198" t="str">
        <f t="shared" si="29"/>
        <v/>
      </c>
      <c r="Q49" s="198" t="str">
        <f>IF((P49&lt;&gt;""),IF(OR($F49&lt;&gt;$G49,PrSettings!$M$4="●"),(($F49-$G49)=(M49-N49))*1,0),"")</f>
        <v/>
      </c>
      <c r="R49" s="198" t="str">
        <f t="shared" si="30"/>
        <v/>
      </c>
      <c r="S49" s="198" t="str">
        <f>IF(P49&lt;&gt;"",IF(ABS($F49-$G49)&gt;=PrSettings!$M$7,(ABS($F49-$G49-M49+N49)&lt;=1)*1,IF(AND(P49,$F49=$G49,$F49&gt;=PrSettings!$M$6),(ABS(M49-$F49)&lt;=1)*1,IF(AND(P49,$F49+$G49&gt;=PrSettings!$M$8),(ABS(M49-$F49)+ABS(N49-$G49)&lt;=1)*1,""))),"")</f>
        <v/>
      </c>
      <c r="T49" s="989"/>
      <c r="U49" s="965"/>
      <c r="V49" s="966"/>
      <c r="W49" s="973"/>
      <c r="X49" s="966"/>
      <c r="Y49" s="973"/>
      <c r="Z49" s="978"/>
      <c r="AA49" s="978"/>
      <c r="AB49" s="966"/>
      <c r="AC49" s="966"/>
      <c r="AD49" s="966"/>
      <c r="AE49" s="966"/>
      <c r="AF49" s="966"/>
      <c r="AG49" s="966"/>
      <c r="AH49" s="965"/>
      <c r="AI49" s="966"/>
      <c r="AJ49" s="973"/>
      <c r="AK49" s="966"/>
      <c r="AL49" s="973"/>
      <c r="AM49" s="978"/>
      <c r="AN49" s="978"/>
      <c r="AO49" s="966"/>
      <c r="AP49" s="966"/>
      <c r="AQ49" s="966"/>
      <c r="AR49" s="966"/>
      <c r="AS49" s="966"/>
      <c r="AT49" s="966"/>
      <c r="AU49" s="965"/>
      <c r="AV49" s="966"/>
      <c r="AW49" s="973"/>
      <c r="AX49" s="966"/>
      <c r="AY49" s="973"/>
      <c r="AZ49" s="978"/>
      <c r="BA49" s="978"/>
      <c r="BB49" s="966"/>
      <c r="BC49" s="966"/>
      <c r="BD49" s="966"/>
      <c r="BE49" s="966"/>
      <c r="BF49" s="966"/>
      <c r="BG49" s="966"/>
      <c r="BH49" s="965"/>
      <c r="BI49" s="966"/>
      <c r="BJ49" s="973"/>
      <c r="BK49" s="966"/>
      <c r="BL49" s="973"/>
      <c r="BM49" s="978"/>
      <c r="BN49" s="978"/>
      <c r="BO49" s="966"/>
      <c r="BP49" s="966"/>
      <c r="BQ49" s="966"/>
      <c r="BR49" s="966"/>
      <c r="BS49" s="966"/>
      <c r="BT49" s="966"/>
      <c r="BU49" s="965"/>
      <c r="BV49" s="966"/>
      <c r="BW49" s="973"/>
      <c r="BX49" s="966"/>
      <c r="BY49" s="973"/>
      <c r="BZ49" s="978"/>
      <c r="CA49" s="978"/>
      <c r="CB49" s="966"/>
      <c r="CC49" s="966"/>
      <c r="CD49" s="966"/>
      <c r="CE49" s="966"/>
      <c r="CF49" s="966"/>
      <c r="CG49" s="966"/>
      <c r="CH49" s="965"/>
      <c r="CI49" s="966"/>
      <c r="CJ49" s="973"/>
      <c r="CK49" s="966"/>
      <c r="CL49" s="973"/>
      <c r="CM49" s="978"/>
      <c r="CN49" s="978"/>
      <c r="CO49" s="966"/>
      <c r="CP49" s="966"/>
      <c r="CQ49" s="966"/>
      <c r="CR49" s="966"/>
      <c r="CS49" s="966"/>
      <c r="CT49" s="966"/>
      <c r="CU49" s="965"/>
      <c r="CV49" s="966"/>
      <c r="CW49" s="973"/>
      <c r="CX49" s="966"/>
      <c r="CY49" s="973"/>
      <c r="CZ49" s="978"/>
      <c r="DA49" s="978"/>
      <c r="DB49" s="966"/>
      <c r="DC49" s="966"/>
      <c r="DD49" s="966"/>
      <c r="DE49" s="966"/>
      <c r="DF49" s="966"/>
      <c r="DG49" s="966"/>
      <c r="DH49" s="965"/>
      <c r="DI49" s="966"/>
      <c r="DJ49" s="973"/>
      <c r="DK49" s="966"/>
      <c r="DL49" s="973"/>
      <c r="DM49" s="978"/>
      <c r="DN49" s="978"/>
      <c r="DO49" s="966"/>
      <c r="DP49" s="966"/>
      <c r="DQ49" s="966"/>
      <c r="DR49" s="966"/>
      <c r="DS49" s="966"/>
      <c r="DT49" s="966"/>
      <c r="DU49" s="965"/>
      <c r="DV49" s="966"/>
      <c r="DW49" s="973"/>
      <c r="DX49" s="966"/>
      <c r="DY49" s="973"/>
      <c r="DZ49" s="978"/>
      <c r="EA49" s="978"/>
      <c r="EB49" s="966"/>
      <c r="EC49" s="966"/>
      <c r="ED49" s="966"/>
      <c r="EE49" s="966"/>
      <c r="EF49" s="966"/>
      <c r="EG49" s="966"/>
      <c r="EH49" s="965"/>
      <c r="EI49" s="966"/>
      <c r="EJ49" s="973"/>
      <c r="EK49" s="966"/>
      <c r="EL49" s="973"/>
      <c r="EM49" s="978"/>
      <c r="EN49" s="978"/>
      <c r="EO49" s="966"/>
      <c r="EP49" s="966"/>
      <c r="EQ49" s="966"/>
      <c r="ER49" s="966"/>
      <c r="ES49" s="966"/>
      <c r="ET49" s="966"/>
      <c r="EU49" s="965"/>
      <c r="EV49" s="966"/>
      <c r="EW49" s="973"/>
      <c r="EX49" s="966"/>
      <c r="EY49" s="973"/>
      <c r="EZ49" s="978"/>
      <c r="FA49" s="978"/>
      <c r="FB49" s="966"/>
      <c r="FC49" s="966"/>
      <c r="FD49" s="966"/>
      <c r="FE49" s="966"/>
      <c r="FF49" s="966"/>
      <c r="FG49" s="966"/>
      <c r="FH49" s="965"/>
      <c r="FI49" s="966"/>
      <c r="FJ49" s="973"/>
      <c r="FK49" s="966"/>
      <c r="FL49" s="973"/>
      <c r="FM49" s="978"/>
      <c r="FN49" s="978"/>
      <c r="FO49" s="966"/>
      <c r="FP49" s="966"/>
      <c r="FQ49" s="966"/>
      <c r="FR49" s="966"/>
      <c r="FS49" s="966"/>
      <c r="FT49" s="966"/>
      <c r="FU49" s="965"/>
      <c r="FV49" s="966"/>
      <c r="FW49" s="973"/>
      <c r="FX49" s="966"/>
      <c r="FY49" s="973"/>
      <c r="FZ49" s="978"/>
      <c r="GA49" s="978"/>
      <c r="GB49" s="966"/>
      <c r="GC49" s="966"/>
      <c r="GD49" s="966"/>
      <c r="GE49" s="966"/>
      <c r="GF49" s="966"/>
      <c r="GG49" s="966"/>
      <c r="GH49" s="965"/>
      <c r="GI49" s="966"/>
      <c r="GJ49" s="973"/>
      <c r="GK49" s="966"/>
      <c r="GL49" s="973"/>
      <c r="GM49" s="978"/>
      <c r="GN49" s="978"/>
      <c r="GO49" s="966"/>
      <c r="GP49" s="966"/>
      <c r="GQ49" s="966"/>
      <c r="GR49" s="966"/>
      <c r="GS49" s="966"/>
      <c r="GT49" s="966"/>
      <c r="GU49" s="965"/>
      <c r="GV49" s="966"/>
      <c r="GW49" s="973"/>
      <c r="GX49" s="966"/>
      <c r="GY49" s="973"/>
      <c r="GZ49" s="978"/>
      <c r="HA49" s="978"/>
      <c r="HB49" s="966"/>
      <c r="HC49" s="966"/>
      <c r="HD49" s="966"/>
      <c r="HE49" s="966"/>
      <c r="HF49" s="966"/>
      <c r="HG49" s="966"/>
      <c r="HH49" s="965"/>
      <c r="HI49" s="966"/>
      <c r="HJ49" s="973"/>
      <c r="HK49" s="966"/>
      <c r="HL49" s="973"/>
      <c r="HM49" s="978"/>
      <c r="HN49" s="978"/>
      <c r="HO49" s="966"/>
      <c r="HP49" s="966"/>
      <c r="HQ49" s="966"/>
      <c r="HR49" s="966"/>
      <c r="HS49" s="966"/>
      <c r="HT49" s="966"/>
      <c r="HU49" s="965"/>
      <c r="HV49" s="966"/>
      <c r="HW49" s="973"/>
      <c r="HX49" s="966"/>
      <c r="HY49" s="973"/>
      <c r="HZ49" s="978"/>
      <c r="IA49" s="978"/>
      <c r="IB49" s="966"/>
      <c r="IC49" s="966"/>
      <c r="ID49" s="966"/>
      <c r="IE49" s="966"/>
      <c r="IF49" s="966"/>
      <c r="IG49" s="966"/>
      <c r="IH49" s="965"/>
      <c r="II49" s="966"/>
      <c r="IJ49" s="973"/>
      <c r="IK49" s="966"/>
      <c r="IL49" s="973"/>
      <c r="IM49" s="978"/>
      <c r="IN49" s="978"/>
      <c r="IO49" s="966"/>
      <c r="IP49" s="966"/>
      <c r="IQ49" s="966"/>
      <c r="IR49" s="966"/>
      <c r="IS49" s="966"/>
      <c r="IT49" s="966"/>
      <c r="IU49" s="965"/>
      <c r="IV49" s="966"/>
      <c r="IW49" s="973"/>
      <c r="IX49" s="966"/>
      <c r="IY49" s="973"/>
      <c r="IZ49" s="978"/>
      <c r="JA49" s="978"/>
      <c r="JB49" s="966"/>
      <c r="JC49" s="966"/>
      <c r="JD49" s="966"/>
      <c r="JE49" s="966"/>
      <c r="JF49" s="966"/>
      <c r="JG49" s="966"/>
      <c r="JH49" s="965"/>
      <c r="JI49" s="966"/>
      <c r="JJ49" s="973"/>
      <c r="JK49" s="966"/>
      <c r="JL49" s="973"/>
      <c r="JM49" s="978"/>
      <c r="JN49" s="978"/>
      <c r="JO49" s="966"/>
      <c r="JP49" s="966"/>
      <c r="JQ49" s="966"/>
      <c r="JR49" s="966"/>
      <c r="JS49" s="966"/>
      <c r="JT49" s="966"/>
      <c r="JU49" s="965"/>
      <c r="JV49" s="966"/>
      <c r="JW49" s="973"/>
      <c r="JX49" s="966"/>
      <c r="JY49" s="973"/>
      <c r="JZ49" s="978"/>
      <c r="KA49" s="978"/>
      <c r="KB49" s="966"/>
      <c r="KC49" s="966"/>
      <c r="KD49" s="966"/>
      <c r="KE49" s="966"/>
      <c r="KF49" s="966"/>
      <c r="KG49" s="966"/>
      <c r="KH49" s="965"/>
      <c r="KI49" s="966"/>
      <c r="KJ49" s="973"/>
      <c r="KK49" s="966"/>
      <c r="KL49" s="973"/>
      <c r="KM49" s="978"/>
      <c r="KN49" s="978"/>
      <c r="KO49" s="966"/>
      <c r="KP49" s="966"/>
      <c r="KQ49" s="966"/>
      <c r="KR49" s="966"/>
      <c r="KS49" s="966"/>
      <c r="KT49" s="966"/>
      <c r="KU49" s="965"/>
      <c r="KV49" s="966"/>
      <c r="KW49" s="973"/>
      <c r="KX49" s="966"/>
      <c r="KY49" s="973"/>
      <c r="KZ49" s="978"/>
      <c r="LA49" s="978"/>
      <c r="LB49" s="966"/>
      <c r="LC49" s="966"/>
      <c r="LD49" s="966"/>
      <c r="LE49" s="966"/>
      <c r="LF49" s="966"/>
      <c r="LG49" s="966"/>
      <c r="LH49" s="965"/>
      <c r="LI49" s="966"/>
      <c r="LJ49" s="973"/>
      <c r="LK49" s="966"/>
      <c r="LL49" s="973"/>
      <c r="LM49" s="978"/>
      <c r="LN49" s="978"/>
      <c r="LO49" s="966"/>
      <c r="LP49" s="966"/>
      <c r="LQ49" s="966"/>
      <c r="LR49" s="966"/>
      <c r="LS49" s="966"/>
      <c r="LT49" s="966"/>
      <c r="LU49" s="965"/>
      <c r="LV49" s="966"/>
      <c r="LW49" s="973"/>
      <c r="LX49" s="966"/>
      <c r="LY49" s="973"/>
      <c r="LZ49" s="978"/>
      <c r="MA49" s="978"/>
      <c r="MB49" s="966"/>
      <c r="MC49" s="966"/>
      <c r="MD49" s="966"/>
      <c r="ME49" s="966"/>
      <c r="MF49" s="966"/>
      <c r="MG49" s="966"/>
    </row>
    <row r="50" spans="2:345">
      <c r="B50" s="196">
        <f>INDEX(Groups!$C$7:$C$65,MATCH(C50,Groups!$D$7:$D$65,0))</f>
        <v>9</v>
      </c>
      <c r="C50" s="197" t="str">
        <f>CalcG!$P$24</f>
        <v>België</v>
      </c>
      <c r="D50" s="198">
        <f>INDEX(Groups!$C$7:$C$65,MATCH(E50,Groups!$D$7:$D$65,0))</f>
        <v>21</v>
      </c>
      <c r="E50" s="197" t="str">
        <f>CalcG!$Q$24</f>
        <v>IR Iran</v>
      </c>
      <c r="F50" s="199" t="str">
        <f>CalcG!$R$24</f>
        <v/>
      </c>
      <c r="G50" s="200" t="str">
        <f>CalcG!$S$24</f>
        <v/>
      </c>
      <c r="I50" s="196">
        <f t="shared" si="18"/>
        <v>9</v>
      </c>
      <c r="J50" s="197" t="str">
        <f t="shared" si="27"/>
        <v>België</v>
      </c>
      <c r="K50" s="198">
        <f t="shared" si="1"/>
        <v>21</v>
      </c>
      <c r="L50" s="197" t="str">
        <f t="shared" si="28"/>
        <v>IR Iran</v>
      </c>
      <c r="M50" s="232"/>
      <c r="N50" s="232"/>
      <c r="O50" s="228"/>
      <c r="P50" s="198" t="str">
        <f t="shared" si="29"/>
        <v/>
      </c>
      <c r="Q50" s="198" t="str">
        <f>IF((P50&lt;&gt;""),IF(OR($F50&lt;&gt;$G50,PrSettings!$M$4="●"),(($F50-$G50)=(M50-N50))*1,0),"")</f>
        <v/>
      </c>
      <c r="R50" s="198" t="str">
        <f t="shared" si="30"/>
        <v/>
      </c>
      <c r="S50" s="198" t="str">
        <f>IF(P50&lt;&gt;"",IF(ABS($F50-$G50)&gt;=PrSettings!$M$7,(ABS($F50-$G50-M50+N50)&lt;=1)*1,IF(AND(P50,$F50=$G50,$F50&gt;=PrSettings!$M$6),(ABS(M50-$F50)&lt;=1)*1,IF(AND(P50,$F50+$G50&gt;=PrSettings!$M$8),(ABS(M50-$F50)+ABS(N50-$G50)&lt;=1)*1,""))),"")</f>
        <v/>
      </c>
      <c r="T50" s="989"/>
      <c r="U50" s="965"/>
      <c r="V50" s="966"/>
      <c r="W50" s="973"/>
      <c r="X50" s="966"/>
      <c r="Y50" s="973"/>
      <c r="Z50" s="978"/>
      <c r="AA50" s="978"/>
      <c r="AB50" s="966"/>
      <c r="AC50" s="966"/>
      <c r="AD50" s="966"/>
      <c r="AE50" s="966"/>
      <c r="AF50" s="966"/>
      <c r="AG50" s="966"/>
      <c r="AH50" s="965"/>
      <c r="AI50" s="966"/>
      <c r="AJ50" s="973"/>
      <c r="AK50" s="966"/>
      <c r="AL50" s="973"/>
      <c r="AM50" s="978"/>
      <c r="AN50" s="978"/>
      <c r="AO50" s="966"/>
      <c r="AP50" s="966"/>
      <c r="AQ50" s="966"/>
      <c r="AR50" s="966"/>
      <c r="AS50" s="966"/>
      <c r="AT50" s="966"/>
      <c r="AU50" s="965"/>
      <c r="AV50" s="966"/>
      <c r="AW50" s="973"/>
      <c r="AX50" s="966"/>
      <c r="AY50" s="973"/>
      <c r="AZ50" s="978"/>
      <c r="BA50" s="978"/>
      <c r="BB50" s="966"/>
      <c r="BC50" s="966"/>
      <c r="BD50" s="966"/>
      <c r="BE50" s="966"/>
      <c r="BF50" s="966"/>
      <c r="BG50" s="966"/>
      <c r="BH50" s="965"/>
      <c r="BI50" s="966"/>
      <c r="BJ50" s="973"/>
      <c r="BK50" s="966"/>
      <c r="BL50" s="973"/>
      <c r="BM50" s="978"/>
      <c r="BN50" s="978"/>
      <c r="BO50" s="966"/>
      <c r="BP50" s="966"/>
      <c r="BQ50" s="966"/>
      <c r="BR50" s="966"/>
      <c r="BS50" s="966"/>
      <c r="BT50" s="966"/>
      <c r="BU50" s="965"/>
      <c r="BV50" s="966"/>
      <c r="BW50" s="973"/>
      <c r="BX50" s="966"/>
      <c r="BY50" s="973"/>
      <c r="BZ50" s="978"/>
      <c r="CA50" s="978"/>
      <c r="CB50" s="966"/>
      <c r="CC50" s="966"/>
      <c r="CD50" s="966"/>
      <c r="CE50" s="966"/>
      <c r="CF50" s="966"/>
      <c r="CG50" s="966"/>
      <c r="CH50" s="965"/>
      <c r="CI50" s="966"/>
      <c r="CJ50" s="973"/>
      <c r="CK50" s="966"/>
      <c r="CL50" s="973"/>
      <c r="CM50" s="978"/>
      <c r="CN50" s="978"/>
      <c r="CO50" s="966"/>
      <c r="CP50" s="966"/>
      <c r="CQ50" s="966"/>
      <c r="CR50" s="966"/>
      <c r="CS50" s="966"/>
      <c r="CT50" s="966"/>
      <c r="CU50" s="965"/>
      <c r="CV50" s="966"/>
      <c r="CW50" s="973"/>
      <c r="CX50" s="966"/>
      <c r="CY50" s="973"/>
      <c r="CZ50" s="978"/>
      <c r="DA50" s="978"/>
      <c r="DB50" s="966"/>
      <c r="DC50" s="966"/>
      <c r="DD50" s="966"/>
      <c r="DE50" s="966"/>
      <c r="DF50" s="966"/>
      <c r="DG50" s="966"/>
      <c r="DH50" s="965"/>
      <c r="DI50" s="966"/>
      <c r="DJ50" s="973"/>
      <c r="DK50" s="966"/>
      <c r="DL50" s="973"/>
      <c r="DM50" s="978"/>
      <c r="DN50" s="978"/>
      <c r="DO50" s="966"/>
      <c r="DP50" s="966"/>
      <c r="DQ50" s="966"/>
      <c r="DR50" s="966"/>
      <c r="DS50" s="966"/>
      <c r="DT50" s="966"/>
      <c r="DU50" s="965"/>
      <c r="DV50" s="966"/>
      <c r="DW50" s="973"/>
      <c r="DX50" s="966"/>
      <c r="DY50" s="973"/>
      <c r="DZ50" s="978"/>
      <c r="EA50" s="978"/>
      <c r="EB50" s="966"/>
      <c r="EC50" s="966"/>
      <c r="ED50" s="966"/>
      <c r="EE50" s="966"/>
      <c r="EF50" s="966"/>
      <c r="EG50" s="966"/>
      <c r="EH50" s="965"/>
      <c r="EI50" s="966"/>
      <c r="EJ50" s="973"/>
      <c r="EK50" s="966"/>
      <c r="EL50" s="973"/>
      <c r="EM50" s="978"/>
      <c r="EN50" s="978"/>
      <c r="EO50" s="966"/>
      <c r="EP50" s="966"/>
      <c r="EQ50" s="966"/>
      <c r="ER50" s="966"/>
      <c r="ES50" s="966"/>
      <c r="ET50" s="966"/>
      <c r="EU50" s="965"/>
      <c r="EV50" s="966"/>
      <c r="EW50" s="973"/>
      <c r="EX50" s="966"/>
      <c r="EY50" s="973"/>
      <c r="EZ50" s="978"/>
      <c r="FA50" s="978"/>
      <c r="FB50" s="966"/>
      <c r="FC50" s="966"/>
      <c r="FD50" s="966"/>
      <c r="FE50" s="966"/>
      <c r="FF50" s="966"/>
      <c r="FG50" s="966"/>
      <c r="FH50" s="965"/>
      <c r="FI50" s="966"/>
      <c r="FJ50" s="973"/>
      <c r="FK50" s="966"/>
      <c r="FL50" s="973"/>
      <c r="FM50" s="978"/>
      <c r="FN50" s="978"/>
      <c r="FO50" s="966"/>
      <c r="FP50" s="966"/>
      <c r="FQ50" s="966"/>
      <c r="FR50" s="966"/>
      <c r="FS50" s="966"/>
      <c r="FT50" s="966"/>
      <c r="FU50" s="965"/>
      <c r="FV50" s="966"/>
      <c r="FW50" s="973"/>
      <c r="FX50" s="966"/>
      <c r="FY50" s="973"/>
      <c r="FZ50" s="978"/>
      <c r="GA50" s="978"/>
      <c r="GB50" s="966"/>
      <c r="GC50" s="966"/>
      <c r="GD50" s="966"/>
      <c r="GE50" s="966"/>
      <c r="GF50" s="966"/>
      <c r="GG50" s="966"/>
      <c r="GH50" s="965"/>
      <c r="GI50" s="966"/>
      <c r="GJ50" s="973"/>
      <c r="GK50" s="966"/>
      <c r="GL50" s="973"/>
      <c r="GM50" s="978"/>
      <c r="GN50" s="978"/>
      <c r="GO50" s="966"/>
      <c r="GP50" s="966"/>
      <c r="GQ50" s="966"/>
      <c r="GR50" s="966"/>
      <c r="GS50" s="966"/>
      <c r="GT50" s="966"/>
      <c r="GU50" s="965"/>
      <c r="GV50" s="966"/>
      <c r="GW50" s="973"/>
      <c r="GX50" s="966"/>
      <c r="GY50" s="973"/>
      <c r="GZ50" s="978"/>
      <c r="HA50" s="978"/>
      <c r="HB50" s="966"/>
      <c r="HC50" s="966"/>
      <c r="HD50" s="966"/>
      <c r="HE50" s="966"/>
      <c r="HF50" s="966"/>
      <c r="HG50" s="966"/>
      <c r="HH50" s="965"/>
      <c r="HI50" s="966"/>
      <c r="HJ50" s="973"/>
      <c r="HK50" s="966"/>
      <c r="HL50" s="973"/>
      <c r="HM50" s="978"/>
      <c r="HN50" s="978"/>
      <c r="HO50" s="966"/>
      <c r="HP50" s="966"/>
      <c r="HQ50" s="966"/>
      <c r="HR50" s="966"/>
      <c r="HS50" s="966"/>
      <c r="HT50" s="966"/>
      <c r="HU50" s="965"/>
      <c r="HV50" s="966"/>
      <c r="HW50" s="973"/>
      <c r="HX50" s="966"/>
      <c r="HY50" s="973"/>
      <c r="HZ50" s="978"/>
      <c r="IA50" s="978"/>
      <c r="IB50" s="966"/>
      <c r="IC50" s="966"/>
      <c r="ID50" s="966"/>
      <c r="IE50" s="966"/>
      <c r="IF50" s="966"/>
      <c r="IG50" s="966"/>
      <c r="IH50" s="965"/>
      <c r="II50" s="966"/>
      <c r="IJ50" s="973"/>
      <c r="IK50" s="966"/>
      <c r="IL50" s="973"/>
      <c r="IM50" s="978"/>
      <c r="IN50" s="978"/>
      <c r="IO50" s="966"/>
      <c r="IP50" s="966"/>
      <c r="IQ50" s="966"/>
      <c r="IR50" s="966"/>
      <c r="IS50" s="966"/>
      <c r="IT50" s="966"/>
      <c r="IU50" s="965"/>
      <c r="IV50" s="966"/>
      <c r="IW50" s="973"/>
      <c r="IX50" s="966"/>
      <c r="IY50" s="973"/>
      <c r="IZ50" s="978"/>
      <c r="JA50" s="978"/>
      <c r="JB50" s="966"/>
      <c r="JC50" s="966"/>
      <c r="JD50" s="966"/>
      <c r="JE50" s="966"/>
      <c r="JF50" s="966"/>
      <c r="JG50" s="966"/>
      <c r="JH50" s="965"/>
      <c r="JI50" s="966"/>
      <c r="JJ50" s="973"/>
      <c r="JK50" s="966"/>
      <c r="JL50" s="973"/>
      <c r="JM50" s="978"/>
      <c r="JN50" s="978"/>
      <c r="JO50" s="966"/>
      <c r="JP50" s="966"/>
      <c r="JQ50" s="966"/>
      <c r="JR50" s="966"/>
      <c r="JS50" s="966"/>
      <c r="JT50" s="966"/>
      <c r="JU50" s="965"/>
      <c r="JV50" s="966"/>
      <c r="JW50" s="973"/>
      <c r="JX50" s="966"/>
      <c r="JY50" s="973"/>
      <c r="JZ50" s="978"/>
      <c r="KA50" s="978"/>
      <c r="KB50" s="966"/>
      <c r="KC50" s="966"/>
      <c r="KD50" s="966"/>
      <c r="KE50" s="966"/>
      <c r="KF50" s="966"/>
      <c r="KG50" s="966"/>
      <c r="KH50" s="965"/>
      <c r="KI50" s="966"/>
      <c r="KJ50" s="973"/>
      <c r="KK50" s="966"/>
      <c r="KL50" s="973"/>
      <c r="KM50" s="978"/>
      <c r="KN50" s="978"/>
      <c r="KO50" s="966"/>
      <c r="KP50" s="966"/>
      <c r="KQ50" s="966"/>
      <c r="KR50" s="966"/>
      <c r="KS50" s="966"/>
      <c r="KT50" s="966"/>
      <c r="KU50" s="965"/>
      <c r="KV50" s="966"/>
      <c r="KW50" s="973"/>
      <c r="KX50" s="966"/>
      <c r="KY50" s="973"/>
      <c r="KZ50" s="978"/>
      <c r="LA50" s="978"/>
      <c r="LB50" s="966"/>
      <c r="LC50" s="966"/>
      <c r="LD50" s="966"/>
      <c r="LE50" s="966"/>
      <c r="LF50" s="966"/>
      <c r="LG50" s="966"/>
      <c r="LH50" s="965"/>
      <c r="LI50" s="966"/>
      <c r="LJ50" s="973"/>
      <c r="LK50" s="966"/>
      <c r="LL50" s="973"/>
      <c r="LM50" s="978"/>
      <c r="LN50" s="978"/>
      <c r="LO50" s="966"/>
      <c r="LP50" s="966"/>
      <c r="LQ50" s="966"/>
      <c r="LR50" s="966"/>
      <c r="LS50" s="966"/>
      <c r="LT50" s="966"/>
      <c r="LU50" s="965"/>
      <c r="LV50" s="966"/>
      <c r="LW50" s="973"/>
      <c r="LX50" s="966"/>
      <c r="LY50" s="973"/>
      <c r="LZ50" s="978"/>
      <c r="MA50" s="978"/>
      <c r="MB50" s="966"/>
      <c r="MC50" s="966"/>
      <c r="MD50" s="966"/>
      <c r="ME50" s="966"/>
      <c r="MF50" s="966"/>
      <c r="MG50" s="966"/>
    </row>
    <row r="51" spans="2:345">
      <c r="B51" s="196">
        <f>INDEX(Groups!$C$7:$C$65,MATCH(C51,Groups!$D$7:$D$65,0))</f>
        <v>85</v>
      </c>
      <c r="C51" s="197" t="str">
        <f>CalcG!$P$25</f>
        <v>Nieuw-Zeeland</v>
      </c>
      <c r="D51" s="198">
        <f>INDEX(Groups!$C$7:$C$65,MATCH(E51,Groups!$D$7:$D$65,0))</f>
        <v>29</v>
      </c>
      <c r="E51" s="197" t="str">
        <f>CalcG!$Q$25</f>
        <v>Egypte</v>
      </c>
      <c r="F51" s="199" t="str">
        <f>CalcG!$R$25</f>
        <v/>
      </c>
      <c r="G51" s="200" t="str">
        <f>CalcG!$S$25</f>
        <v/>
      </c>
      <c r="I51" s="196">
        <f t="shared" si="18"/>
        <v>85</v>
      </c>
      <c r="J51" s="197" t="str">
        <f t="shared" si="27"/>
        <v>Nieuw-Zeeland</v>
      </c>
      <c r="K51" s="198">
        <f t="shared" si="1"/>
        <v>29</v>
      </c>
      <c r="L51" s="197" t="str">
        <f t="shared" si="28"/>
        <v>Egypte</v>
      </c>
      <c r="M51" s="232"/>
      <c r="N51" s="232"/>
      <c r="O51" s="228"/>
      <c r="P51" s="198" t="str">
        <f t="shared" si="29"/>
        <v/>
      </c>
      <c r="Q51" s="198" t="str">
        <f>IF((P51&lt;&gt;""),IF(OR($F51&lt;&gt;$G51,PrSettings!$M$4="●"),(($F51-$G51)=(M51-N51))*1,0),"")</f>
        <v/>
      </c>
      <c r="R51" s="198" t="str">
        <f t="shared" si="30"/>
        <v/>
      </c>
      <c r="S51" s="198" t="str">
        <f>IF(P51&lt;&gt;"",IF(ABS($F51-$G51)&gt;=PrSettings!$M$7,(ABS($F51-$G51-M51+N51)&lt;=1)*1,IF(AND(P51,$F51=$G51,$F51&gt;=PrSettings!$M$6),(ABS(M51-$F51)&lt;=1)*1,IF(AND(P51,$F51+$G51&gt;=PrSettings!$M$8),(ABS(M51-$F51)+ABS(N51-$G51)&lt;=1)*1,""))),"")</f>
        <v/>
      </c>
      <c r="T51" s="989"/>
      <c r="U51" s="965"/>
      <c r="V51" s="966"/>
      <c r="W51" s="973"/>
      <c r="X51" s="966"/>
      <c r="Y51" s="973"/>
      <c r="Z51" s="978"/>
      <c r="AA51" s="978"/>
      <c r="AB51" s="966"/>
      <c r="AC51" s="966"/>
      <c r="AD51" s="966"/>
      <c r="AE51" s="966"/>
      <c r="AF51" s="966"/>
      <c r="AG51" s="966"/>
      <c r="AH51" s="965"/>
      <c r="AI51" s="966"/>
      <c r="AJ51" s="973"/>
      <c r="AK51" s="966"/>
      <c r="AL51" s="973"/>
      <c r="AM51" s="978"/>
      <c r="AN51" s="978"/>
      <c r="AO51" s="966"/>
      <c r="AP51" s="966"/>
      <c r="AQ51" s="966"/>
      <c r="AR51" s="966"/>
      <c r="AS51" s="966"/>
      <c r="AT51" s="966"/>
      <c r="AU51" s="965"/>
      <c r="AV51" s="966"/>
      <c r="AW51" s="973"/>
      <c r="AX51" s="966"/>
      <c r="AY51" s="973"/>
      <c r="AZ51" s="978"/>
      <c r="BA51" s="978"/>
      <c r="BB51" s="966"/>
      <c r="BC51" s="966"/>
      <c r="BD51" s="966"/>
      <c r="BE51" s="966"/>
      <c r="BF51" s="966"/>
      <c r="BG51" s="966"/>
      <c r="BH51" s="965"/>
      <c r="BI51" s="966"/>
      <c r="BJ51" s="973"/>
      <c r="BK51" s="966"/>
      <c r="BL51" s="973"/>
      <c r="BM51" s="978"/>
      <c r="BN51" s="978"/>
      <c r="BO51" s="966"/>
      <c r="BP51" s="966"/>
      <c r="BQ51" s="966"/>
      <c r="BR51" s="966"/>
      <c r="BS51" s="966"/>
      <c r="BT51" s="966"/>
      <c r="BU51" s="965"/>
      <c r="BV51" s="966"/>
      <c r="BW51" s="973"/>
      <c r="BX51" s="966"/>
      <c r="BY51" s="973"/>
      <c r="BZ51" s="978"/>
      <c r="CA51" s="978"/>
      <c r="CB51" s="966"/>
      <c r="CC51" s="966"/>
      <c r="CD51" s="966"/>
      <c r="CE51" s="966"/>
      <c r="CF51" s="966"/>
      <c r="CG51" s="966"/>
      <c r="CH51" s="965"/>
      <c r="CI51" s="966"/>
      <c r="CJ51" s="973"/>
      <c r="CK51" s="966"/>
      <c r="CL51" s="973"/>
      <c r="CM51" s="978"/>
      <c r="CN51" s="978"/>
      <c r="CO51" s="966"/>
      <c r="CP51" s="966"/>
      <c r="CQ51" s="966"/>
      <c r="CR51" s="966"/>
      <c r="CS51" s="966"/>
      <c r="CT51" s="966"/>
      <c r="CU51" s="965"/>
      <c r="CV51" s="966"/>
      <c r="CW51" s="973"/>
      <c r="CX51" s="966"/>
      <c r="CY51" s="973"/>
      <c r="CZ51" s="978"/>
      <c r="DA51" s="978"/>
      <c r="DB51" s="966"/>
      <c r="DC51" s="966"/>
      <c r="DD51" s="966"/>
      <c r="DE51" s="966"/>
      <c r="DF51" s="966"/>
      <c r="DG51" s="966"/>
      <c r="DH51" s="965"/>
      <c r="DI51" s="966"/>
      <c r="DJ51" s="973"/>
      <c r="DK51" s="966"/>
      <c r="DL51" s="973"/>
      <c r="DM51" s="978"/>
      <c r="DN51" s="978"/>
      <c r="DO51" s="966"/>
      <c r="DP51" s="966"/>
      <c r="DQ51" s="966"/>
      <c r="DR51" s="966"/>
      <c r="DS51" s="966"/>
      <c r="DT51" s="966"/>
      <c r="DU51" s="965"/>
      <c r="DV51" s="966"/>
      <c r="DW51" s="973"/>
      <c r="DX51" s="966"/>
      <c r="DY51" s="973"/>
      <c r="DZ51" s="978"/>
      <c r="EA51" s="978"/>
      <c r="EB51" s="966"/>
      <c r="EC51" s="966"/>
      <c r="ED51" s="966"/>
      <c r="EE51" s="966"/>
      <c r="EF51" s="966"/>
      <c r="EG51" s="966"/>
      <c r="EH51" s="965"/>
      <c r="EI51" s="966"/>
      <c r="EJ51" s="973"/>
      <c r="EK51" s="966"/>
      <c r="EL51" s="973"/>
      <c r="EM51" s="978"/>
      <c r="EN51" s="978"/>
      <c r="EO51" s="966"/>
      <c r="EP51" s="966"/>
      <c r="EQ51" s="966"/>
      <c r="ER51" s="966"/>
      <c r="ES51" s="966"/>
      <c r="ET51" s="966"/>
      <c r="EU51" s="965"/>
      <c r="EV51" s="966"/>
      <c r="EW51" s="973"/>
      <c r="EX51" s="966"/>
      <c r="EY51" s="973"/>
      <c r="EZ51" s="978"/>
      <c r="FA51" s="978"/>
      <c r="FB51" s="966"/>
      <c r="FC51" s="966"/>
      <c r="FD51" s="966"/>
      <c r="FE51" s="966"/>
      <c r="FF51" s="966"/>
      <c r="FG51" s="966"/>
      <c r="FH51" s="965"/>
      <c r="FI51" s="966"/>
      <c r="FJ51" s="973"/>
      <c r="FK51" s="966"/>
      <c r="FL51" s="973"/>
      <c r="FM51" s="978"/>
      <c r="FN51" s="978"/>
      <c r="FO51" s="966"/>
      <c r="FP51" s="966"/>
      <c r="FQ51" s="966"/>
      <c r="FR51" s="966"/>
      <c r="FS51" s="966"/>
      <c r="FT51" s="966"/>
      <c r="FU51" s="965"/>
      <c r="FV51" s="966"/>
      <c r="FW51" s="973"/>
      <c r="FX51" s="966"/>
      <c r="FY51" s="973"/>
      <c r="FZ51" s="978"/>
      <c r="GA51" s="978"/>
      <c r="GB51" s="966"/>
      <c r="GC51" s="966"/>
      <c r="GD51" s="966"/>
      <c r="GE51" s="966"/>
      <c r="GF51" s="966"/>
      <c r="GG51" s="966"/>
      <c r="GH51" s="965"/>
      <c r="GI51" s="966"/>
      <c r="GJ51" s="973"/>
      <c r="GK51" s="966"/>
      <c r="GL51" s="973"/>
      <c r="GM51" s="978"/>
      <c r="GN51" s="978"/>
      <c r="GO51" s="966"/>
      <c r="GP51" s="966"/>
      <c r="GQ51" s="966"/>
      <c r="GR51" s="966"/>
      <c r="GS51" s="966"/>
      <c r="GT51" s="966"/>
      <c r="GU51" s="965"/>
      <c r="GV51" s="966"/>
      <c r="GW51" s="973"/>
      <c r="GX51" s="966"/>
      <c r="GY51" s="973"/>
      <c r="GZ51" s="978"/>
      <c r="HA51" s="978"/>
      <c r="HB51" s="966"/>
      <c r="HC51" s="966"/>
      <c r="HD51" s="966"/>
      <c r="HE51" s="966"/>
      <c r="HF51" s="966"/>
      <c r="HG51" s="966"/>
      <c r="HH51" s="965"/>
      <c r="HI51" s="966"/>
      <c r="HJ51" s="973"/>
      <c r="HK51" s="966"/>
      <c r="HL51" s="973"/>
      <c r="HM51" s="978"/>
      <c r="HN51" s="978"/>
      <c r="HO51" s="966"/>
      <c r="HP51" s="966"/>
      <c r="HQ51" s="966"/>
      <c r="HR51" s="966"/>
      <c r="HS51" s="966"/>
      <c r="HT51" s="966"/>
      <c r="HU51" s="965"/>
      <c r="HV51" s="966"/>
      <c r="HW51" s="973"/>
      <c r="HX51" s="966"/>
      <c r="HY51" s="973"/>
      <c r="HZ51" s="978"/>
      <c r="IA51" s="978"/>
      <c r="IB51" s="966"/>
      <c r="IC51" s="966"/>
      <c r="ID51" s="966"/>
      <c r="IE51" s="966"/>
      <c r="IF51" s="966"/>
      <c r="IG51" s="966"/>
      <c r="IH51" s="965"/>
      <c r="II51" s="966"/>
      <c r="IJ51" s="973"/>
      <c r="IK51" s="966"/>
      <c r="IL51" s="973"/>
      <c r="IM51" s="978"/>
      <c r="IN51" s="978"/>
      <c r="IO51" s="966"/>
      <c r="IP51" s="966"/>
      <c r="IQ51" s="966"/>
      <c r="IR51" s="966"/>
      <c r="IS51" s="966"/>
      <c r="IT51" s="966"/>
      <c r="IU51" s="965"/>
      <c r="IV51" s="966"/>
      <c r="IW51" s="973"/>
      <c r="IX51" s="966"/>
      <c r="IY51" s="973"/>
      <c r="IZ51" s="978"/>
      <c r="JA51" s="978"/>
      <c r="JB51" s="966"/>
      <c r="JC51" s="966"/>
      <c r="JD51" s="966"/>
      <c r="JE51" s="966"/>
      <c r="JF51" s="966"/>
      <c r="JG51" s="966"/>
      <c r="JH51" s="965"/>
      <c r="JI51" s="966"/>
      <c r="JJ51" s="973"/>
      <c r="JK51" s="966"/>
      <c r="JL51" s="973"/>
      <c r="JM51" s="978"/>
      <c r="JN51" s="978"/>
      <c r="JO51" s="966"/>
      <c r="JP51" s="966"/>
      <c r="JQ51" s="966"/>
      <c r="JR51" s="966"/>
      <c r="JS51" s="966"/>
      <c r="JT51" s="966"/>
      <c r="JU51" s="965"/>
      <c r="JV51" s="966"/>
      <c r="JW51" s="973"/>
      <c r="JX51" s="966"/>
      <c r="JY51" s="973"/>
      <c r="JZ51" s="978"/>
      <c r="KA51" s="978"/>
      <c r="KB51" s="966"/>
      <c r="KC51" s="966"/>
      <c r="KD51" s="966"/>
      <c r="KE51" s="966"/>
      <c r="KF51" s="966"/>
      <c r="KG51" s="966"/>
      <c r="KH51" s="965"/>
      <c r="KI51" s="966"/>
      <c r="KJ51" s="973"/>
      <c r="KK51" s="966"/>
      <c r="KL51" s="973"/>
      <c r="KM51" s="978"/>
      <c r="KN51" s="978"/>
      <c r="KO51" s="966"/>
      <c r="KP51" s="966"/>
      <c r="KQ51" s="966"/>
      <c r="KR51" s="966"/>
      <c r="KS51" s="966"/>
      <c r="KT51" s="966"/>
      <c r="KU51" s="965"/>
      <c r="KV51" s="966"/>
      <c r="KW51" s="973"/>
      <c r="KX51" s="966"/>
      <c r="KY51" s="973"/>
      <c r="KZ51" s="978"/>
      <c r="LA51" s="978"/>
      <c r="LB51" s="966"/>
      <c r="LC51" s="966"/>
      <c r="LD51" s="966"/>
      <c r="LE51" s="966"/>
      <c r="LF51" s="966"/>
      <c r="LG51" s="966"/>
      <c r="LH51" s="965"/>
      <c r="LI51" s="966"/>
      <c r="LJ51" s="973"/>
      <c r="LK51" s="966"/>
      <c r="LL51" s="973"/>
      <c r="LM51" s="978"/>
      <c r="LN51" s="978"/>
      <c r="LO51" s="966"/>
      <c r="LP51" s="966"/>
      <c r="LQ51" s="966"/>
      <c r="LR51" s="966"/>
      <c r="LS51" s="966"/>
      <c r="LT51" s="966"/>
      <c r="LU51" s="965"/>
      <c r="LV51" s="966"/>
      <c r="LW51" s="973"/>
      <c r="LX51" s="966"/>
      <c r="LY51" s="973"/>
      <c r="LZ51" s="978"/>
      <c r="MA51" s="978"/>
      <c r="MB51" s="966"/>
      <c r="MC51" s="966"/>
      <c r="MD51" s="966"/>
      <c r="ME51" s="966"/>
      <c r="MF51" s="966"/>
      <c r="MG51" s="966"/>
    </row>
    <row r="52" spans="2:345">
      <c r="B52" s="196">
        <f>INDEX(Groups!$C$7:$C$65,MATCH(C52,Groups!$D$7:$D$65,0))</f>
        <v>29</v>
      </c>
      <c r="C52" s="197" t="str">
        <f>CalcG!$P$26</f>
        <v>Egypte</v>
      </c>
      <c r="D52" s="198">
        <f>INDEX(Groups!$C$7:$C$65,MATCH(E52,Groups!$D$7:$D$65,0))</f>
        <v>21</v>
      </c>
      <c r="E52" s="197" t="str">
        <f>CalcG!$Q$26</f>
        <v>IR Iran</v>
      </c>
      <c r="F52" s="199" t="str">
        <f>CalcG!$R$26</f>
        <v/>
      </c>
      <c r="G52" s="200" t="str">
        <f>CalcG!$S$26</f>
        <v/>
      </c>
      <c r="I52" s="196">
        <f t="shared" si="18"/>
        <v>29</v>
      </c>
      <c r="J52" s="197" t="str">
        <f t="shared" si="27"/>
        <v>Egypte</v>
      </c>
      <c r="K52" s="198">
        <f t="shared" si="1"/>
        <v>21</v>
      </c>
      <c r="L52" s="197" t="str">
        <f t="shared" si="28"/>
        <v>IR Iran</v>
      </c>
      <c r="M52" s="232"/>
      <c r="N52" s="232"/>
      <c r="O52" s="228"/>
      <c r="P52" s="198" t="str">
        <f t="shared" si="29"/>
        <v/>
      </c>
      <c r="Q52" s="198" t="str">
        <f>IF((P52&lt;&gt;""),IF(OR($F52&lt;&gt;$G52,PrSettings!$M$4="●"),(($F52-$G52)=(M52-N52))*1,0),"")</f>
        <v/>
      </c>
      <c r="R52" s="198" t="str">
        <f t="shared" si="30"/>
        <v/>
      </c>
      <c r="S52" s="198" t="str">
        <f>IF(P52&lt;&gt;"",IF(ABS($F52-$G52)&gt;=PrSettings!$M$7,(ABS($F52-$G52-M52+N52)&lt;=1)*1,IF(AND(P52,$F52=$G52,$F52&gt;=PrSettings!$M$6),(ABS(M52-$F52)&lt;=1)*1,IF(AND(P52,$F52+$G52&gt;=PrSettings!$M$8),(ABS(M52-$F52)+ABS(N52-$G52)&lt;=1)*1,""))),"")</f>
        <v/>
      </c>
      <c r="T52" s="989"/>
      <c r="U52" s="965"/>
      <c r="V52" s="966"/>
      <c r="W52" s="973"/>
      <c r="X52" s="966"/>
      <c r="Y52" s="973"/>
      <c r="Z52" s="978"/>
      <c r="AA52" s="978"/>
      <c r="AB52" s="966"/>
      <c r="AC52" s="966"/>
      <c r="AD52" s="966"/>
      <c r="AE52" s="966"/>
      <c r="AF52" s="966"/>
      <c r="AG52" s="966"/>
      <c r="AH52" s="965"/>
      <c r="AI52" s="966"/>
      <c r="AJ52" s="973"/>
      <c r="AK52" s="966"/>
      <c r="AL52" s="973"/>
      <c r="AM52" s="978"/>
      <c r="AN52" s="978"/>
      <c r="AO52" s="966"/>
      <c r="AP52" s="966"/>
      <c r="AQ52" s="966"/>
      <c r="AR52" s="966"/>
      <c r="AS52" s="966"/>
      <c r="AT52" s="966"/>
      <c r="AU52" s="965"/>
      <c r="AV52" s="966"/>
      <c r="AW52" s="973"/>
      <c r="AX52" s="966"/>
      <c r="AY52" s="973"/>
      <c r="AZ52" s="978"/>
      <c r="BA52" s="978"/>
      <c r="BB52" s="966"/>
      <c r="BC52" s="966"/>
      <c r="BD52" s="966"/>
      <c r="BE52" s="966"/>
      <c r="BF52" s="966"/>
      <c r="BG52" s="966"/>
      <c r="BH52" s="965"/>
      <c r="BI52" s="966"/>
      <c r="BJ52" s="973"/>
      <c r="BK52" s="966"/>
      <c r="BL52" s="973"/>
      <c r="BM52" s="978"/>
      <c r="BN52" s="978"/>
      <c r="BO52" s="966"/>
      <c r="BP52" s="966"/>
      <c r="BQ52" s="966"/>
      <c r="BR52" s="966"/>
      <c r="BS52" s="966"/>
      <c r="BT52" s="966"/>
      <c r="BU52" s="965"/>
      <c r="BV52" s="966"/>
      <c r="BW52" s="973"/>
      <c r="BX52" s="966"/>
      <c r="BY52" s="973"/>
      <c r="BZ52" s="978"/>
      <c r="CA52" s="978"/>
      <c r="CB52" s="966"/>
      <c r="CC52" s="966"/>
      <c r="CD52" s="966"/>
      <c r="CE52" s="966"/>
      <c r="CF52" s="966"/>
      <c r="CG52" s="966"/>
      <c r="CH52" s="965"/>
      <c r="CI52" s="966"/>
      <c r="CJ52" s="973"/>
      <c r="CK52" s="966"/>
      <c r="CL52" s="973"/>
      <c r="CM52" s="978"/>
      <c r="CN52" s="978"/>
      <c r="CO52" s="966"/>
      <c r="CP52" s="966"/>
      <c r="CQ52" s="966"/>
      <c r="CR52" s="966"/>
      <c r="CS52" s="966"/>
      <c r="CT52" s="966"/>
      <c r="CU52" s="965"/>
      <c r="CV52" s="966"/>
      <c r="CW52" s="973"/>
      <c r="CX52" s="966"/>
      <c r="CY52" s="973"/>
      <c r="CZ52" s="978"/>
      <c r="DA52" s="978"/>
      <c r="DB52" s="966"/>
      <c r="DC52" s="966"/>
      <c r="DD52" s="966"/>
      <c r="DE52" s="966"/>
      <c r="DF52" s="966"/>
      <c r="DG52" s="966"/>
      <c r="DH52" s="965"/>
      <c r="DI52" s="966"/>
      <c r="DJ52" s="973"/>
      <c r="DK52" s="966"/>
      <c r="DL52" s="973"/>
      <c r="DM52" s="978"/>
      <c r="DN52" s="978"/>
      <c r="DO52" s="966"/>
      <c r="DP52" s="966"/>
      <c r="DQ52" s="966"/>
      <c r="DR52" s="966"/>
      <c r="DS52" s="966"/>
      <c r="DT52" s="966"/>
      <c r="DU52" s="965"/>
      <c r="DV52" s="966"/>
      <c r="DW52" s="973"/>
      <c r="DX52" s="966"/>
      <c r="DY52" s="973"/>
      <c r="DZ52" s="978"/>
      <c r="EA52" s="978"/>
      <c r="EB52" s="966"/>
      <c r="EC52" s="966"/>
      <c r="ED52" s="966"/>
      <c r="EE52" s="966"/>
      <c r="EF52" s="966"/>
      <c r="EG52" s="966"/>
      <c r="EH52" s="965"/>
      <c r="EI52" s="966"/>
      <c r="EJ52" s="973"/>
      <c r="EK52" s="966"/>
      <c r="EL52" s="973"/>
      <c r="EM52" s="978"/>
      <c r="EN52" s="978"/>
      <c r="EO52" s="966"/>
      <c r="EP52" s="966"/>
      <c r="EQ52" s="966"/>
      <c r="ER52" s="966"/>
      <c r="ES52" s="966"/>
      <c r="ET52" s="966"/>
      <c r="EU52" s="965"/>
      <c r="EV52" s="966"/>
      <c r="EW52" s="973"/>
      <c r="EX52" s="966"/>
      <c r="EY52" s="973"/>
      <c r="EZ52" s="978"/>
      <c r="FA52" s="978"/>
      <c r="FB52" s="966"/>
      <c r="FC52" s="966"/>
      <c r="FD52" s="966"/>
      <c r="FE52" s="966"/>
      <c r="FF52" s="966"/>
      <c r="FG52" s="966"/>
      <c r="FH52" s="965"/>
      <c r="FI52" s="966"/>
      <c r="FJ52" s="973"/>
      <c r="FK52" s="966"/>
      <c r="FL52" s="973"/>
      <c r="FM52" s="978"/>
      <c r="FN52" s="978"/>
      <c r="FO52" s="966"/>
      <c r="FP52" s="966"/>
      <c r="FQ52" s="966"/>
      <c r="FR52" s="966"/>
      <c r="FS52" s="966"/>
      <c r="FT52" s="966"/>
      <c r="FU52" s="965"/>
      <c r="FV52" s="966"/>
      <c r="FW52" s="973"/>
      <c r="FX52" s="966"/>
      <c r="FY52" s="973"/>
      <c r="FZ52" s="978"/>
      <c r="GA52" s="978"/>
      <c r="GB52" s="966"/>
      <c r="GC52" s="966"/>
      <c r="GD52" s="966"/>
      <c r="GE52" s="966"/>
      <c r="GF52" s="966"/>
      <c r="GG52" s="966"/>
      <c r="GH52" s="965"/>
      <c r="GI52" s="966"/>
      <c r="GJ52" s="973"/>
      <c r="GK52" s="966"/>
      <c r="GL52" s="973"/>
      <c r="GM52" s="978"/>
      <c r="GN52" s="978"/>
      <c r="GO52" s="966"/>
      <c r="GP52" s="966"/>
      <c r="GQ52" s="966"/>
      <c r="GR52" s="966"/>
      <c r="GS52" s="966"/>
      <c r="GT52" s="966"/>
      <c r="GU52" s="965"/>
      <c r="GV52" s="966"/>
      <c r="GW52" s="973"/>
      <c r="GX52" s="966"/>
      <c r="GY52" s="973"/>
      <c r="GZ52" s="978"/>
      <c r="HA52" s="978"/>
      <c r="HB52" s="966"/>
      <c r="HC52" s="966"/>
      <c r="HD52" s="966"/>
      <c r="HE52" s="966"/>
      <c r="HF52" s="966"/>
      <c r="HG52" s="966"/>
      <c r="HH52" s="965"/>
      <c r="HI52" s="966"/>
      <c r="HJ52" s="973"/>
      <c r="HK52" s="966"/>
      <c r="HL52" s="973"/>
      <c r="HM52" s="978"/>
      <c r="HN52" s="978"/>
      <c r="HO52" s="966"/>
      <c r="HP52" s="966"/>
      <c r="HQ52" s="966"/>
      <c r="HR52" s="966"/>
      <c r="HS52" s="966"/>
      <c r="HT52" s="966"/>
      <c r="HU52" s="965"/>
      <c r="HV52" s="966"/>
      <c r="HW52" s="973"/>
      <c r="HX52" s="966"/>
      <c r="HY52" s="973"/>
      <c r="HZ52" s="978"/>
      <c r="IA52" s="978"/>
      <c r="IB52" s="966"/>
      <c r="IC52" s="966"/>
      <c r="ID52" s="966"/>
      <c r="IE52" s="966"/>
      <c r="IF52" s="966"/>
      <c r="IG52" s="966"/>
      <c r="IH52" s="965"/>
      <c r="II52" s="966"/>
      <c r="IJ52" s="973"/>
      <c r="IK52" s="966"/>
      <c r="IL52" s="973"/>
      <c r="IM52" s="978"/>
      <c r="IN52" s="978"/>
      <c r="IO52" s="966"/>
      <c r="IP52" s="966"/>
      <c r="IQ52" s="966"/>
      <c r="IR52" s="966"/>
      <c r="IS52" s="966"/>
      <c r="IT52" s="966"/>
      <c r="IU52" s="965"/>
      <c r="IV52" s="966"/>
      <c r="IW52" s="973"/>
      <c r="IX52" s="966"/>
      <c r="IY52" s="973"/>
      <c r="IZ52" s="978"/>
      <c r="JA52" s="978"/>
      <c r="JB52" s="966"/>
      <c r="JC52" s="966"/>
      <c r="JD52" s="966"/>
      <c r="JE52" s="966"/>
      <c r="JF52" s="966"/>
      <c r="JG52" s="966"/>
      <c r="JH52" s="965"/>
      <c r="JI52" s="966"/>
      <c r="JJ52" s="973"/>
      <c r="JK52" s="966"/>
      <c r="JL52" s="973"/>
      <c r="JM52" s="978"/>
      <c r="JN52" s="978"/>
      <c r="JO52" s="966"/>
      <c r="JP52" s="966"/>
      <c r="JQ52" s="966"/>
      <c r="JR52" s="966"/>
      <c r="JS52" s="966"/>
      <c r="JT52" s="966"/>
      <c r="JU52" s="965"/>
      <c r="JV52" s="966"/>
      <c r="JW52" s="973"/>
      <c r="JX52" s="966"/>
      <c r="JY52" s="973"/>
      <c r="JZ52" s="978"/>
      <c r="KA52" s="978"/>
      <c r="KB52" s="966"/>
      <c r="KC52" s="966"/>
      <c r="KD52" s="966"/>
      <c r="KE52" s="966"/>
      <c r="KF52" s="966"/>
      <c r="KG52" s="966"/>
      <c r="KH52" s="965"/>
      <c r="KI52" s="966"/>
      <c r="KJ52" s="973"/>
      <c r="KK52" s="966"/>
      <c r="KL52" s="973"/>
      <c r="KM52" s="978"/>
      <c r="KN52" s="978"/>
      <c r="KO52" s="966"/>
      <c r="KP52" s="966"/>
      <c r="KQ52" s="966"/>
      <c r="KR52" s="966"/>
      <c r="KS52" s="966"/>
      <c r="KT52" s="966"/>
      <c r="KU52" s="965"/>
      <c r="KV52" s="966"/>
      <c r="KW52" s="973"/>
      <c r="KX52" s="966"/>
      <c r="KY52" s="973"/>
      <c r="KZ52" s="978"/>
      <c r="LA52" s="978"/>
      <c r="LB52" s="966"/>
      <c r="LC52" s="966"/>
      <c r="LD52" s="966"/>
      <c r="LE52" s="966"/>
      <c r="LF52" s="966"/>
      <c r="LG52" s="966"/>
      <c r="LH52" s="965"/>
      <c r="LI52" s="966"/>
      <c r="LJ52" s="973"/>
      <c r="LK52" s="966"/>
      <c r="LL52" s="973"/>
      <c r="LM52" s="978"/>
      <c r="LN52" s="978"/>
      <c r="LO52" s="966"/>
      <c r="LP52" s="966"/>
      <c r="LQ52" s="966"/>
      <c r="LR52" s="966"/>
      <c r="LS52" s="966"/>
      <c r="LT52" s="966"/>
      <c r="LU52" s="965"/>
      <c r="LV52" s="966"/>
      <c r="LW52" s="973"/>
      <c r="LX52" s="966"/>
      <c r="LY52" s="973"/>
      <c r="LZ52" s="978"/>
      <c r="MA52" s="978"/>
      <c r="MB52" s="966"/>
      <c r="MC52" s="966"/>
      <c r="MD52" s="966"/>
      <c r="ME52" s="966"/>
      <c r="MF52" s="966"/>
      <c r="MG52" s="966"/>
    </row>
    <row r="53" spans="2:345">
      <c r="B53" s="196">
        <f>INDEX(Groups!$C$7:$C$65,MATCH(C53,Groups!$D$7:$D$65,0))</f>
        <v>85</v>
      </c>
      <c r="C53" s="197" t="str">
        <f>CalcG!$P$27</f>
        <v>Nieuw-Zeeland</v>
      </c>
      <c r="D53" s="198">
        <f>INDEX(Groups!$C$7:$C$65,MATCH(E53,Groups!$D$7:$D$65,0))</f>
        <v>9</v>
      </c>
      <c r="E53" s="197" t="str">
        <f>CalcG!$Q$27</f>
        <v>België</v>
      </c>
      <c r="F53" s="199" t="str">
        <f>CalcG!$R$27</f>
        <v/>
      </c>
      <c r="G53" s="200" t="str">
        <f>CalcG!$S$27</f>
        <v/>
      </c>
      <c r="I53" s="196">
        <f t="shared" si="18"/>
        <v>85</v>
      </c>
      <c r="J53" s="197" t="str">
        <f t="shared" si="27"/>
        <v>Nieuw-Zeeland</v>
      </c>
      <c r="K53" s="198">
        <f t="shared" si="1"/>
        <v>9</v>
      </c>
      <c r="L53" s="197" t="str">
        <f t="shared" si="28"/>
        <v>België</v>
      </c>
      <c r="M53" s="232"/>
      <c r="N53" s="232"/>
      <c r="O53" s="473"/>
      <c r="P53" s="198" t="str">
        <f t="shared" si="29"/>
        <v/>
      </c>
      <c r="Q53" s="198" t="str">
        <f>IF((P53&lt;&gt;""),IF(OR($F53&lt;&gt;$G53,PrSettings!$M$4="●"),(($F53-$G53)=(M53-N53))*1,0),"")</f>
        <v/>
      </c>
      <c r="R53" s="198" t="str">
        <f t="shared" si="30"/>
        <v/>
      </c>
      <c r="S53" s="198" t="str">
        <f>IF(P53&lt;&gt;"",IF(ABS($F53-$G53)&gt;=PrSettings!$M$7,(ABS($F53-$G53-M53+N53)&lt;=1)*1,IF(AND(P53,$F53=$G53,$F53&gt;=PrSettings!$M$6),(ABS(M53-$F53)&lt;=1)*1,IF(AND(P53,$F53+$G53&gt;=PrSettings!$M$8),(ABS(M53-$F53)+ABS(N53-$G53)&lt;=1)*1,""))),"")</f>
        <v/>
      </c>
      <c r="T53" s="990"/>
      <c r="U53" s="965"/>
      <c r="V53" s="966"/>
      <c r="W53" s="973"/>
      <c r="X53" s="966"/>
      <c r="Y53" s="973"/>
      <c r="Z53" s="978"/>
      <c r="AA53" s="978"/>
      <c r="AB53" s="966"/>
      <c r="AC53" s="966"/>
      <c r="AD53" s="966"/>
      <c r="AE53" s="966"/>
      <c r="AF53" s="966"/>
      <c r="AG53" s="966"/>
      <c r="AH53" s="965"/>
      <c r="AI53" s="966"/>
      <c r="AJ53" s="973"/>
      <c r="AK53" s="966"/>
      <c r="AL53" s="973"/>
      <c r="AM53" s="978"/>
      <c r="AN53" s="978"/>
      <c r="AO53" s="966"/>
      <c r="AP53" s="966"/>
      <c r="AQ53" s="966"/>
      <c r="AR53" s="966"/>
      <c r="AS53" s="966"/>
      <c r="AT53" s="966"/>
      <c r="AU53" s="965"/>
      <c r="AV53" s="966"/>
      <c r="AW53" s="973"/>
      <c r="AX53" s="966"/>
      <c r="AY53" s="973"/>
      <c r="AZ53" s="978"/>
      <c r="BA53" s="978"/>
      <c r="BB53" s="966"/>
      <c r="BC53" s="966"/>
      <c r="BD53" s="966"/>
      <c r="BE53" s="966"/>
      <c r="BF53" s="966"/>
      <c r="BG53" s="966"/>
      <c r="BH53" s="965"/>
      <c r="BI53" s="966"/>
      <c r="BJ53" s="973"/>
      <c r="BK53" s="966"/>
      <c r="BL53" s="973"/>
      <c r="BM53" s="978"/>
      <c r="BN53" s="978"/>
      <c r="BO53" s="966"/>
      <c r="BP53" s="966"/>
      <c r="BQ53" s="966"/>
      <c r="BR53" s="966"/>
      <c r="BS53" s="966"/>
      <c r="BT53" s="966"/>
      <c r="BU53" s="965"/>
      <c r="BV53" s="966"/>
      <c r="BW53" s="973"/>
      <c r="BX53" s="966"/>
      <c r="BY53" s="973"/>
      <c r="BZ53" s="978"/>
      <c r="CA53" s="978"/>
      <c r="CB53" s="966"/>
      <c r="CC53" s="966"/>
      <c r="CD53" s="966"/>
      <c r="CE53" s="966"/>
      <c r="CF53" s="966"/>
      <c r="CG53" s="966"/>
      <c r="CH53" s="965"/>
      <c r="CI53" s="966"/>
      <c r="CJ53" s="973"/>
      <c r="CK53" s="966"/>
      <c r="CL53" s="973"/>
      <c r="CM53" s="978"/>
      <c r="CN53" s="978"/>
      <c r="CO53" s="966"/>
      <c r="CP53" s="966"/>
      <c r="CQ53" s="966"/>
      <c r="CR53" s="966"/>
      <c r="CS53" s="966"/>
      <c r="CT53" s="966"/>
      <c r="CU53" s="965"/>
      <c r="CV53" s="966"/>
      <c r="CW53" s="973"/>
      <c r="CX53" s="966"/>
      <c r="CY53" s="973"/>
      <c r="CZ53" s="978"/>
      <c r="DA53" s="978"/>
      <c r="DB53" s="966"/>
      <c r="DC53" s="966"/>
      <c r="DD53" s="966"/>
      <c r="DE53" s="966"/>
      <c r="DF53" s="966"/>
      <c r="DG53" s="966"/>
      <c r="DH53" s="965"/>
      <c r="DI53" s="966"/>
      <c r="DJ53" s="973"/>
      <c r="DK53" s="966"/>
      <c r="DL53" s="973"/>
      <c r="DM53" s="978"/>
      <c r="DN53" s="978"/>
      <c r="DO53" s="966"/>
      <c r="DP53" s="966"/>
      <c r="DQ53" s="966"/>
      <c r="DR53" s="966"/>
      <c r="DS53" s="966"/>
      <c r="DT53" s="966"/>
      <c r="DU53" s="965"/>
      <c r="DV53" s="966"/>
      <c r="DW53" s="973"/>
      <c r="DX53" s="966"/>
      <c r="DY53" s="973"/>
      <c r="DZ53" s="978"/>
      <c r="EA53" s="978"/>
      <c r="EB53" s="966"/>
      <c r="EC53" s="966"/>
      <c r="ED53" s="966"/>
      <c r="EE53" s="966"/>
      <c r="EF53" s="966"/>
      <c r="EG53" s="966"/>
      <c r="EH53" s="965"/>
      <c r="EI53" s="966"/>
      <c r="EJ53" s="973"/>
      <c r="EK53" s="966"/>
      <c r="EL53" s="973"/>
      <c r="EM53" s="978"/>
      <c r="EN53" s="978"/>
      <c r="EO53" s="966"/>
      <c r="EP53" s="966"/>
      <c r="EQ53" s="966"/>
      <c r="ER53" s="966"/>
      <c r="ES53" s="966"/>
      <c r="ET53" s="966"/>
      <c r="EU53" s="965"/>
      <c r="EV53" s="966"/>
      <c r="EW53" s="973"/>
      <c r="EX53" s="966"/>
      <c r="EY53" s="973"/>
      <c r="EZ53" s="978"/>
      <c r="FA53" s="978"/>
      <c r="FB53" s="966"/>
      <c r="FC53" s="966"/>
      <c r="FD53" s="966"/>
      <c r="FE53" s="966"/>
      <c r="FF53" s="966"/>
      <c r="FG53" s="966"/>
      <c r="FH53" s="965"/>
      <c r="FI53" s="966"/>
      <c r="FJ53" s="973"/>
      <c r="FK53" s="966"/>
      <c r="FL53" s="973"/>
      <c r="FM53" s="978"/>
      <c r="FN53" s="978"/>
      <c r="FO53" s="966"/>
      <c r="FP53" s="966"/>
      <c r="FQ53" s="966"/>
      <c r="FR53" s="966"/>
      <c r="FS53" s="966"/>
      <c r="FT53" s="966"/>
      <c r="FU53" s="965"/>
      <c r="FV53" s="966"/>
      <c r="FW53" s="973"/>
      <c r="FX53" s="966"/>
      <c r="FY53" s="973"/>
      <c r="FZ53" s="978"/>
      <c r="GA53" s="978"/>
      <c r="GB53" s="966"/>
      <c r="GC53" s="966"/>
      <c r="GD53" s="966"/>
      <c r="GE53" s="966"/>
      <c r="GF53" s="966"/>
      <c r="GG53" s="966"/>
      <c r="GH53" s="965"/>
      <c r="GI53" s="966"/>
      <c r="GJ53" s="973"/>
      <c r="GK53" s="966"/>
      <c r="GL53" s="973"/>
      <c r="GM53" s="978"/>
      <c r="GN53" s="978"/>
      <c r="GO53" s="966"/>
      <c r="GP53" s="966"/>
      <c r="GQ53" s="966"/>
      <c r="GR53" s="966"/>
      <c r="GS53" s="966"/>
      <c r="GT53" s="966"/>
      <c r="GU53" s="965"/>
      <c r="GV53" s="966"/>
      <c r="GW53" s="973"/>
      <c r="GX53" s="966"/>
      <c r="GY53" s="973"/>
      <c r="GZ53" s="978"/>
      <c r="HA53" s="978"/>
      <c r="HB53" s="966"/>
      <c r="HC53" s="966"/>
      <c r="HD53" s="966"/>
      <c r="HE53" s="966"/>
      <c r="HF53" s="966"/>
      <c r="HG53" s="966"/>
      <c r="HH53" s="965"/>
      <c r="HI53" s="966"/>
      <c r="HJ53" s="973"/>
      <c r="HK53" s="966"/>
      <c r="HL53" s="973"/>
      <c r="HM53" s="978"/>
      <c r="HN53" s="978"/>
      <c r="HO53" s="966"/>
      <c r="HP53" s="966"/>
      <c r="HQ53" s="966"/>
      <c r="HR53" s="966"/>
      <c r="HS53" s="966"/>
      <c r="HT53" s="966"/>
      <c r="HU53" s="965"/>
      <c r="HV53" s="966"/>
      <c r="HW53" s="973"/>
      <c r="HX53" s="966"/>
      <c r="HY53" s="973"/>
      <c r="HZ53" s="978"/>
      <c r="IA53" s="978"/>
      <c r="IB53" s="966"/>
      <c r="IC53" s="966"/>
      <c r="ID53" s="966"/>
      <c r="IE53" s="966"/>
      <c r="IF53" s="966"/>
      <c r="IG53" s="966"/>
      <c r="IH53" s="965"/>
      <c r="II53" s="966"/>
      <c r="IJ53" s="973"/>
      <c r="IK53" s="966"/>
      <c r="IL53" s="973"/>
      <c r="IM53" s="978"/>
      <c r="IN53" s="978"/>
      <c r="IO53" s="966"/>
      <c r="IP53" s="966"/>
      <c r="IQ53" s="966"/>
      <c r="IR53" s="966"/>
      <c r="IS53" s="966"/>
      <c r="IT53" s="966"/>
      <c r="IU53" s="965"/>
      <c r="IV53" s="966"/>
      <c r="IW53" s="973"/>
      <c r="IX53" s="966"/>
      <c r="IY53" s="973"/>
      <c r="IZ53" s="978"/>
      <c r="JA53" s="978"/>
      <c r="JB53" s="966"/>
      <c r="JC53" s="966"/>
      <c r="JD53" s="966"/>
      <c r="JE53" s="966"/>
      <c r="JF53" s="966"/>
      <c r="JG53" s="966"/>
      <c r="JH53" s="965"/>
      <c r="JI53" s="966"/>
      <c r="JJ53" s="973"/>
      <c r="JK53" s="966"/>
      <c r="JL53" s="973"/>
      <c r="JM53" s="978"/>
      <c r="JN53" s="978"/>
      <c r="JO53" s="966"/>
      <c r="JP53" s="966"/>
      <c r="JQ53" s="966"/>
      <c r="JR53" s="966"/>
      <c r="JS53" s="966"/>
      <c r="JT53" s="966"/>
      <c r="JU53" s="965"/>
      <c r="JV53" s="966"/>
      <c r="JW53" s="973"/>
      <c r="JX53" s="966"/>
      <c r="JY53" s="973"/>
      <c r="JZ53" s="978"/>
      <c r="KA53" s="978"/>
      <c r="KB53" s="966"/>
      <c r="KC53" s="966"/>
      <c r="KD53" s="966"/>
      <c r="KE53" s="966"/>
      <c r="KF53" s="966"/>
      <c r="KG53" s="966"/>
      <c r="KH53" s="965"/>
      <c r="KI53" s="966"/>
      <c r="KJ53" s="973"/>
      <c r="KK53" s="966"/>
      <c r="KL53" s="973"/>
      <c r="KM53" s="978"/>
      <c r="KN53" s="978"/>
      <c r="KO53" s="966"/>
      <c r="KP53" s="966"/>
      <c r="KQ53" s="966"/>
      <c r="KR53" s="966"/>
      <c r="KS53" s="966"/>
      <c r="KT53" s="966"/>
      <c r="KU53" s="965"/>
      <c r="KV53" s="966"/>
      <c r="KW53" s="973"/>
      <c r="KX53" s="966"/>
      <c r="KY53" s="973"/>
      <c r="KZ53" s="978"/>
      <c r="LA53" s="978"/>
      <c r="LB53" s="966"/>
      <c r="LC53" s="966"/>
      <c r="LD53" s="966"/>
      <c r="LE53" s="966"/>
      <c r="LF53" s="966"/>
      <c r="LG53" s="966"/>
      <c r="LH53" s="965"/>
      <c r="LI53" s="966"/>
      <c r="LJ53" s="973"/>
      <c r="LK53" s="966"/>
      <c r="LL53" s="973"/>
      <c r="LM53" s="978"/>
      <c r="LN53" s="978"/>
      <c r="LO53" s="966"/>
      <c r="LP53" s="966"/>
      <c r="LQ53" s="966"/>
      <c r="LR53" s="966"/>
      <c r="LS53" s="966"/>
      <c r="LT53" s="966"/>
      <c r="LU53" s="965"/>
      <c r="LV53" s="966"/>
      <c r="LW53" s="973"/>
      <c r="LX53" s="966"/>
      <c r="LY53" s="973"/>
      <c r="LZ53" s="978"/>
      <c r="MA53" s="978"/>
      <c r="MB53" s="966"/>
      <c r="MC53" s="966"/>
      <c r="MD53" s="966"/>
      <c r="ME53" s="966"/>
      <c r="MF53" s="966"/>
      <c r="MG53" s="966"/>
    </row>
    <row r="54" spans="2:345" ht="24" customHeight="1">
      <c r="B54" s="205" t="str">
        <f>Language!$E$130&amp;" H"</f>
        <v>Groep H</v>
      </c>
      <c r="C54" s="206"/>
      <c r="D54" s="211"/>
      <c r="E54" s="208"/>
      <c r="F54" s="212"/>
      <c r="G54" s="213"/>
      <c r="I54" s="205" t="str">
        <f t="shared" si="18"/>
        <v>Groep H</v>
      </c>
      <c r="J54" s="207"/>
      <c r="K54" s="211"/>
      <c r="L54" s="208"/>
      <c r="M54" s="236"/>
      <c r="N54" s="237"/>
      <c r="O54" s="209"/>
      <c r="P54" s="220"/>
      <c r="Q54" s="220"/>
      <c r="R54" s="208"/>
      <c r="S54" s="208"/>
      <c r="T54" s="987"/>
      <c r="U54" s="965"/>
      <c r="V54" s="972"/>
      <c r="W54" s="972"/>
      <c r="X54" s="966"/>
      <c r="Y54" s="973"/>
      <c r="Z54" s="974"/>
      <c r="AA54" s="975"/>
      <c r="AB54" s="976"/>
      <c r="AC54" s="977"/>
      <c r="AD54" s="977"/>
      <c r="AE54" s="973"/>
      <c r="AF54" s="973"/>
      <c r="AG54" s="973"/>
      <c r="AH54" s="965"/>
      <c r="AI54" s="972"/>
      <c r="AJ54" s="972"/>
      <c r="AK54" s="966"/>
      <c r="AL54" s="973"/>
      <c r="AM54" s="974"/>
      <c r="AN54" s="975"/>
      <c r="AO54" s="976"/>
      <c r="AP54" s="977"/>
      <c r="AQ54" s="977"/>
      <c r="AR54" s="973"/>
      <c r="AS54" s="973"/>
      <c r="AT54" s="973"/>
      <c r="AU54" s="965"/>
      <c r="AV54" s="972"/>
      <c r="AW54" s="972"/>
      <c r="AX54" s="966"/>
      <c r="AY54" s="973"/>
      <c r="AZ54" s="974"/>
      <c r="BA54" s="975"/>
      <c r="BB54" s="976"/>
      <c r="BC54" s="977"/>
      <c r="BD54" s="977"/>
      <c r="BE54" s="973"/>
      <c r="BF54" s="973"/>
      <c r="BG54" s="973"/>
      <c r="BH54" s="965"/>
      <c r="BI54" s="972"/>
      <c r="BJ54" s="972"/>
      <c r="BK54" s="966"/>
      <c r="BL54" s="973"/>
      <c r="BM54" s="974"/>
      <c r="BN54" s="975"/>
      <c r="BO54" s="976"/>
      <c r="BP54" s="977"/>
      <c r="BQ54" s="977"/>
      <c r="BR54" s="973"/>
      <c r="BS54" s="973"/>
      <c r="BT54" s="973"/>
      <c r="BU54" s="965"/>
      <c r="BV54" s="972"/>
      <c r="BW54" s="972"/>
      <c r="BX54" s="966"/>
      <c r="BY54" s="973"/>
      <c r="BZ54" s="974"/>
      <c r="CA54" s="975"/>
      <c r="CB54" s="976"/>
      <c r="CC54" s="977"/>
      <c r="CD54" s="977"/>
      <c r="CE54" s="973"/>
      <c r="CF54" s="973"/>
      <c r="CG54" s="973"/>
      <c r="CH54" s="965"/>
      <c r="CI54" s="972"/>
      <c r="CJ54" s="972"/>
      <c r="CK54" s="966"/>
      <c r="CL54" s="973"/>
      <c r="CM54" s="974"/>
      <c r="CN54" s="975"/>
      <c r="CO54" s="976"/>
      <c r="CP54" s="977"/>
      <c r="CQ54" s="977"/>
      <c r="CR54" s="973"/>
      <c r="CS54" s="973"/>
      <c r="CT54" s="973"/>
      <c r="CU54" s="965"/>
      <c r="CV54" s="972"/>
      <c r="CW54" s="972"/>
      <c r="CX54" s="966"/>
      <c r="CY54" s="973"/>
      <c r="CZ54" s="974"/>
      <c r="DA54" s="975"/>
      <c r="DB54" s="976"/>
      <c r="DC54" s="977"/>
      <c r="DD54" s="977"/>
      <c r="DE54" s="973"/>
      <c r="DF54" s="973"/>
      <c r="DG54" s="973"/>
      <c r="DH54" s="965"/>
      <c r="DI54" s="972"/>
      <c r="DJ54" s="972"/>
      <c r="DK54" s="966"/>
      <c r="DL54" s="973"/>
      <c r="DM54" s="974"/>
      <c r="DN54" s="975"/>
      <c r="DO54" s="976"/>
      <c r="DP54" s="977"/>
      <c r="DQ54" s="977"/>
      <c r="DR54" s="973"/>
      <c r="DS54" s="973"/>
      <c r="DT54" s="973"/>
      <c r="DU54" s="965"/>
      <c r="DV54" s="972"/>
      <c r="DW54" s="972"/>
      <c r="DX54" s="966"/>
      <c r="DY54" s="973"/>
      <c r="DZ54" s="974"/>
      <c r="EA54" s="975"/>
      <c r="EB54" s="976"/>
      <c r="EC54" s="977"/>
      <c r="ED54" s="977"/>
      <c r="EE54" s="973"/>
      <c r="EF54" s="973"/>
      <c r="EG54" s="973"/>
      <c r="EH54" s="965"/>
      <c r="EI54" s="972"/>
      <c r="EJ54" s="972"/>
      <c r="EK54" s="966"/>
      <c r="EL54" s="973"/>
      <c r="EM54" s="974"/>
      <c r="EN54" s="975"/>
      <c r="EO54" s="976"/>
      <c r="EP54" s="977"/>
      <c r="EQ54" s="977"/>
      <c r="ER54" s="973"/>
      <c r="ES54" s="973"/>
      <c r="ET54" s="973"/>
      <c r="EU54" s="965"/>
      <c r="EV54" s="972"/>
      <c r="EW54" s="972"/>
      <c r="EX54" s="966"/>
      <c r="EY54" s="973"/>
      <c r="EZ54" s="974"/>
      <c r="FA54" s="975"/>
      <c r="FB54" s="976"/>
      <c r="FC54" s="977"/>
      <c r="FD54" s="977"/>
      <c r="FE54" s="973"/>
      <c r="FF54" s="973"/>
      <c r="FG54" s="973"/>
      <c r="FH54" s="965"/>
      <c r="FI54" s="972"/>
      <c r="FJ54" s="972"/>
      <c r="FK54" s="966"/>
      <c r="FL54" s="973"/>
      <c r="FM54" s="974"/>
      <c r="FN54" s="975"/>
      <c r="FO54" s="976"/>
      <c r="FP54" s="977"/>
      <c r="FQ54" s="977"/>
      <c r="FR54" s="973"/>
      <c r="FS54" s="973"/>
      <c r="FT54" s="973"/>
      <c r="FU54" s="965"/>
      <c r="FV54" s="972"/>
      <c r="FW54" s="972"/>
      <c r="FX54" s="966"/>
      <c r="FY54" s="973"/>
      <c r="FZ54" s="974"/>
      <c r="GA54" s="975"/>
      <c r="GB54" s="976"/>
      <c r="GC54" s="977"/>
      <c r="GD54" s="977"/>
      <c r="GE54" s="973"/>
      <c r="GF54" s="973"/>
      <c r="GG54" s="973"/>
      <c r="GH54" s="965"/>
      <c r="GI54" s="972"/>
      <c r="GJ54" s="972"/>
      <c r="GK54" s="966"/>
      <c r="GL54" s="973"/>
      <c r="GM54" s="974"/>
      <c r="GN54" s="975"/>
      <c r="GO54" s="976"/>
      <c r="GP54" s="977"/>
      <c r="GQ54" s="977"/>
      <c r="GR54" s="973"/>
      <c r="GS54" s="973"/>
      <c r="GT54" s="973"/>
      <c r="GU54" s="965"/>
      <c r="GV54" s="972"/>
      <c r="GW54" s="972"/>
      <c r="GX54" s="966"/>
      <c r="GY54" s="973"/>
      <c r="GZ54" s="974"/>
      <c r="HA54" s="975"/>
      <c r="HB54" s="976"/>
      <c r="HC54" s="977"/>
      <c r="HD54" s="977"/>
      <c r="HE54" s="973"/>
      <c r="HF54" s="973"/>
      <c r="HG54" s="973"/>
      <c r="HH54" s="965"/>
      <c r="HI54" s="972"/>
      <c r="HJ54" s="972"/>
      <c r="HK54" s="966"/>
      <c r="HL54" s="973"/>
      <c r="HM54" s="974"/>
      <c r="HN54" s="975"/>
      <c r="HO54" s="976"/>
      <c r="HP54" s="977"/>
      <c r="HQ54" s="977"/>
      <c r="HR54" s="973"/>
      <c r="HS54" s="973"/>
      <c r="HT54" s="973"/>
      <c r="HU54" s="965"/>
      <c r="HV54" s="972"/>
      <c r="HW54" s="972"/>
      <c r="HX54" s="966"/>
      <c r="HY54" s="973"/>
      <c r="HZ54" s="974"/>
      <c r="IA54" s="975"/>
      <c r="IB54" s="976"/>
      <c r="IC54" s="977"/>
      <c r="ID54" s="977"/>
      <c r="IE54" s="973"/>
      <c r="IF54" s="973"/>
      <c r="IG54" s="973"/>
      <c r="IH54" s="965"/>
      <c r="II54" s="972"/>
      <c r="IJ54" s="972"/>
      <c r="IK54" s="966"/>
      <c r="IL54" s="973"/>
      <c r="IM54" s="974"/>
      <c r="IN54" s="975"/>
      <c r="IO54" s="976"/>
      <c r="IP54" s="977"/>
      <c r="IQ54" s="977"/>
      <c r="IR54" s="973"/>
      <c r="IS54" s="973"/>
      <c r="IT54" s="973"/>
      <c r="IU54" s="965"/>
      <c r="IV54" s="972"/>
      <c r="IW54" s="972"/>
      <c r="IX54" s="966"/>
      <c r="IY54" s="973"/>
      <c r="IZ54" s="974"/>
      <c r="JA54" s="975"/>
      <c r="JB54" s="976"/>
      <c r="JC54" s="977"/>
      <c r="JD54" s="977"/>
      <c r="JE54" s="973"/>
      <c r="JF54" s="973"/>
      <c r="JG54" s="973"/>
      <c r="JH54" s="965"/>
      <c r="JI54" s="972"/>
      <c r="JJ54" s="972"/>
      <c r="JK54" s="966"/>
      <c r="JL54" s="973"/>
      <c r="JM54" s="974"/>
      <c r="JN54" s="975"/>
      <c r="JO54" s="976"/>
      <c r="JP54" s="977"/>
      <c r="JQ54" s="977"/>
      <c r="JR54" s="973"/>
      <c r="JS54" s="973"/>
      <c r="JT54" s="973"/>
      <c r="JU54" s="965"/>
      <c r="JV54" s="972"/>
      <c r="JW54" s="972"/>
      <c r="JX54" s="966"/>
      <c r="JY54" s="973"/>
      <c r="JZ54" s="974"/>
      <c r="KA54" s="975"/>
      <c r="KB54" s="976"/>
      <c r="KC54" s="977"/>
      <c r="KD54" s="977"/>
      <c r="KE54" s="973"/>
      <c r="KF54" s="973"/>
      <c r="KG54" s="973"/>
      <c r="KH54" s="965"/>
      <c r="KI54" s="972"/>
      <c r="KJ54" s="972"/>
      <c r="KK54" s="966"/>
      <c r="KL54" s="973"/>
      <c r="KM54" s="974"/>
      <c r="KN54" s="975"/>
      <c r="KO54" s="976"/>
      <c r="KP54" s="977"/>
      <c r="KQ54" s="977"/>
      <c r="KR54" s="973"/>
      <c r="KS54" s="973"/>
      <c r="KT54" s="973"/>
      <c r="KU54" s="965"/>
      <c r="KV54" s="972"/>
      <c r="KW54" s="972"/>
      <c r="KX54" s="966"/>
      <c r="KY54" s="973"/>
      <c r="KZ54" s="974"/>
      <c r="LA54" s="975"/>
      <c r="LB54" s="976"/>
      <c r="LC54" s="977"/>
      <c r="LD54" s="977"/>
      <c r="LE54" s="973"/>
      <c r="LF54" s="973"/>
      <c r="LG54" s="973"/>
      <c r="LH54" s="965"/>
      <c r="LI54" s="972"/>
      <c r="LJ54" s="972"/>
      <c r="LK54" s="966"/>
      <c r="LL54" s="973"/>
      <c r="LM54" s="974"/>
      <c r="LN54" s="975"/>
      <c r="LO54" s="976"/>
      <c r="LP54" s="977"/>
      <c r="LQ54" s="977"/>
      <c r="LR54" s="973"/>
      <c r="LS54" s="973"/>
      <c r="LT54" s="973"/>
      <c r="LU54" s="965"/>
      <c r="LV54" s="972"/>
      <c r="LW54" s="972"/>
      <c r="LX54" s="966"/>
      <c r="LY54" s="973"/>
      <c r="LZ54" s="974"/>
      <c r="MA54" s="975"/>
      <c r="MB54" s="976"/>
      <c r="MC54" s="977"/>
      <c r="MD54" s="977"/>
      <c r="ME54" s="973"/>
      <c r="MF54" s="973"/>
      <c r="MG54" s="973"/>
    </row>
    <row r="55" spans="2:345">
      <c r="B55" s="196">
        <f>INDEX(Groups!$C$7:$C$65,MATCH(C55,Groups!$D$7:$D$65,0))</f>
        <v>2</v>
      </c>
      <c r="C55" s="197" t="str">
        <f>CalcH!$P$22</f>
        <v>Spanje</v>
      </c>
      <c r="D55" s="198">
        <f>INDEX(Groups!$C$7:$C$65,MATCH(E55,Groups!$D$7:$D$65,0))</f>
        <v>69</v>
      </c>
      <c r="E55" s="197" t="str">
        <f>CalcH!$Q$22</f>
        <v>Kaapverdië</v>
      </c>
      <c r="F55" s="199" t="str">
        <f>CalcH!$R$22</f>
        <v/>
      </c>
      <c r="G55" s="200" t="str">
        <f>CalcH!$S$22</f>
        <v/>
      </c>
      <c r="I55" s="196">
        <f t="shared" si="18"/>
        <v>2</v>
      </c>
      <c r="J55" s="197" t="str">
        <f t="shared" ref="J55:J60" si="31">$C55</f>
        <v>Spanje</v>
      </c>
      <c r="K55" s="198">
        <f t="shared" si="1"/>
        <v>69</v>
      </c>
      <c r="L55" s="197" t="str">
        <f t="shared" ref="L55:L60" si="32">$E55</f>
        <v>Kaapverdië</v>
      </c>
      <c r="M55" s="232"/>
      <c r="N55" s="232"/>
      <c r="O55" s="227"/>
      <c r="P55" s="198" t="str">
        <f t="shared" ref="P55:P60" si="33">IF(($F55&lt;&gt;"")*($G55&lt;&gt;"")*(M55&lt;&gt;"")*(N55&lt;&gt;""),($F55&gt;$G55)*(M55&gt;N55)+($F55=$G55)*(M55=N55)+($F55&lt;$G55)*(M55&lt;N55),"")</f>
        <v/>
      </c>
      <c r="Q55" s="198" t="str">
        <f>IF((P55&lt;&gt;""),IF(OR($F55&lt;&gt;$G55,PrSettings!$M$4="●"),(($F55-$G55)=(M55-N55))*1,0),"")</f>
        <v/>
      </c>
      <c r="R55" s="198" t="str">
        <f t="shared" ref="R55:R60" si="34">IF((P55&lt;&gt;""),($F55=M55)*($G55=N55),"")</f>
        <v/>
      </c>
      <c r="S55" s="198" t="str">
        <f>IF(P55&lt;&gt;"",IF(ABS($F55-$G55)&gt;=PrSettings!$M$7,(ABS($F55-$G55-M55+N55)&lt;=1)*1,IF(AND(P55,$F55=$G55,$F55&gt;=PrSettings!$M$6),(ABS(M55-$F55)&lt;=1)*1,IF(AND(P55,$F55+$G55&gt;=PrSettings!$M$8),(ABS(M55-$F55)+ABS(N55-$G55)&lt;=1)*1,""))),"")</f>
        <v/>
      </c>
      <c r="T55" s="988"/>
      <c r="U55" s="965"/>
      <c r="V55" s="966"/>
      <c r="W55" s="973"/>
      <c r="X55" s="966"/>
      <c r="Y55" s="973"/>
      <c r="Z55" s="978"/>
      <c r="AA55" s="978"/>
      <c r="AB55" s="966"/>
      <c r="AC55" s="966"/>
      <c r="AD55" s="966"/>
      <c r="AE55" s="966"/>
      <c r="AF55" s="966"/>
      <c r="AG55" s="966"/>
      <c r="AH55" s="965"/>
      <c r="AI55" s="966"/>
      <c r="AJ55" s="973"/>
      <c r="AK55" s="966"/>
      <c r="AL55" s="973"/>
      <c r="AM55" s="978"/>
      <c r="AN55" s="978"/>
      <c r="AO55" s="966"/>
      <c r="AP55" s="966"/>
      <c r="AQ55" s="966"/>
      <c r="AR55" s="966"/>
      <c r="AS55" s="966"/>
      <c r="AT55" s="966"/>
      <c r="AU55" s="965"/>
      <c r="AV55" s="966"/>
      <c r="AW55" s="973"/>
      <c r="AX55" s="966"/>
      <c r="AY55" s="973"/>
      <c r="AZ55" s="978"/>
      <c r="BA55" s="978"/>
      <c r="BB55" s="966"/>
      <c r="BC55" s="966"/>
      <c r="BD55" s="966"/>
      <c r="BE55" s="966"/>
      <c r="BF55" s="966"/>
      <c r="BG55" s="966"/>
      <c r="BH55" s="965"/>
      <c r="BI55" s="966"/>
      <c r="BJ55" s="973"/>
      <c r="BK55" s="966"/>
      <c r="BL55" s="973"/>
      <c r="BM55" s="978"/>
      <c r="BN55" s="978"/>
      <c r="BO55" s="966"/>
      <c r="BP55" s="966"/>
      <c r="BQ55" s="966"/>
      <c r="BR55" s="966"/>
      <c r="BS55" s="966"/>
      <c r="BT55" s="966"/>
      <c r="BU55" s="965"/>
      <c r="BV55" s="966"/>
      <c r="BW55" s="973"/>
      <c r="BX55" s="966"/>
      <c r="BY55" s="973"/>
      <c r="BZ55" s="978"/>
      <c r="CA55" s="978"/>
      <c r="CB55" s="966"/>
      <c r="CC55" s="966"/>
      <c r="CD55" s="966"/>
      <c r="CE55" s="966"/>
      <c r="CF55" s="966"/>
      <c r="CG55" s="966"/>
      <c r="CH55" s="965"/>
      <c r="CI55" s="966"/>
      <c r="CJ55" s="973"/>
      <c r="CK55" s="966"/>
      <c r="CL55" s="973"/>
      <c r="CM55" s="978"/>
      <c r="CN55" s="978"/>
      <c r="CO55" s="966"/>
      <c r="CP55" s="966"/>
      <c r="CQ55" s="966"/>
      <c r="CR55" s="966"/>
      <c r="CS55" s="966"/>
      <c r="CT55" s="966"/>
      <c r="CU55" s="965"/>
      <c r="CV55" s="966"/>
      <c r="CW55" s="973"/>
      <c r="CX55" s="966"/>
      <c r="CY55" s="973"/>
      <c r="CZ55" s="978"/>
      <c r="DA55" s="978"/>
      <c r="DB55" s="966"/>
      <c r="DC55" s="966"/>
      <c r="DD55" s="966"/>
      <c r="DE55" s="966"/>
      <c r="DF55" s="966"/>
      <c r="DG55" s="966"/>
      <c r="DH55" s="965"/>
      <c r="DI55" s="966"/>
      <c r="DJ55" s="973"/>
      <c r="DK55" s="966"/>
      <c r="DL55" s="973"/>
      <c r="DM55" s="978"/>
      <c r="DN55" s="978"/>
      <c r="DO55" s="966"/>
      <c r="DP55" s="966"/>
      <c r="DQ55" s="966"/>
      <c r="DR55" s="966"/>
      <c r="DS55" s="966"/>
      <c r="DT55" s="966"/>
      <c r="DU55" s="965"/>
      <c r="DV55" s="966"/>
      <c r="DW55" s="973"/>
      <c r="DX55" s="966"/>
      <c r="DY55" s="973"/>
      <c r="DZ55" s="978"/>
      <c r="EA55" s="978"/>
      <c r="EB55" s="966"/>
      <c r="EC55" s="966"/>
      <c r="ED55" s="966"/>
      <c r="EE55" s="966"/>
      <c r="EF55" s="966"/>
      <c r="EG55" s="966"/>
      <c r="EH55" s="965"/>
      <c r="EI55" s="966"/>
      <c r="EJ55" s="973"/>
      <c r="EK55" s="966"/>
      <c r="EL55" s="973"/>
      <c r="EM55" s="978"/>
      <c r="EN55" s="978"/>
      <c r="EO55" s="966"/>
      <c r="EP55" s="966"/>
      <c r="EQ55" s="966"/>
      <c r="ER55" s="966"/>
      <c r="ES55" s="966"/>
      <c r="ET55" s="966"/>
      <c r="EU55" s="965"/>
      <c r="EV55" s="966"/>
      <c r="EW55" s="973"/>
      <c r="EX55" s="966"/>
      <c r="EY55" s="973"/>
      <c r="EZ55" s="978"/>
      <c r="FA55" s="978"/>
      <c r="FB55" s="966"/>
      <c r="FC55" s="966"/>
      <c r="FD55" s="966"/>
      <c r="FE55" s="966"/>
      <c r="FF55" s="966"/>
      <c r="FG55" s="966"/>
      <c r="FH55" s="965"/>
      <c r="FI55" s="966"/>
      <c r="FJ55" s="973"/>
      <c r="FK55" s="966"/>
      <c r="FL55" s="973"/>
      <c r="FM55" s="978"/>
      <c r="FN55" s="978"/>
      <c r="FO55" s="966"/>
      <c r="FP55" s="966"/>
      <c r="FQ55" s="966"/>
      <c r="FR55" s="966"/>
      <c r="FS55" s="966"/>
      <c r="FT55" s="966"/>
      <c r="FU55" s="965"/>
      <c r="FV55" s="966"/>
      <c r="FW55" s="973"/>
      <c r="FX55" s="966"/>
      <c r="FY55" s="973"/>
      <c r="FZ55" s="978"/>
      <c r="GA55" s="978"/>
      <c r="GB55" s="966"/>
      <c r="GC55" s="966"/>
      <c r="GD55" s="966"/>
      <c r="GE55" s="966"/>
      <c r="GF55" s="966"/>
      <c r="GG55" s="966"/>
      <c r="GH55" s="965"/>
      <c r="GI55" s="966"/>
      <c r="GJ55" s="973"/>
      <c r="GK55" s="966"/>
      <c r="GL55" s="973"/>
      <c r="GM55" s="978"/>
      <c r="GN55" s="978"/>
      <c r="GO55" s="966"/>
      <c r="GP55" s="966"/>
      <c r="GQ55" s="966"/>
      <c r="GR55" s="966"/>
      <c r="GS55" s="966"/>
      <c r="GT55" s="966"/>
      <c r="GU55" s="965"/>
      <c r="GV55" s="966"/>
      <c r="GW55" s="973"/>
      <c r="GX55" s="966"/>
      <c r="GY55" s="973"/>
      <c r="GZ55" s="978"/>
      <c r="HA55" s="978"/>
      <c r="HB55" s="966"/>
      <c r="HC55" s="966"/>
      <c r="HD55" s="966"/>
      <c r="HE55" s="966"/>
      <c r="HF55" s="966"/>
      <c r="HG55" s="966"/>
      <c r="HH55" s="965"/>
      <c r="HI55" s="966"/>
      <c r="HJ55" s="973"/>
      <c r="HK55" s="966"/>
      <c r="HL55" s="973"/>
      <c r="HM55" s="978"/>
      <c r="HN55" s="978"/>
      <c r="HO55" s="966"/>
      <c r="HP55" s="966"/>
      <c r="HQ55" s="966"/>
      <c r="HR55" s="966"/>
      <c r="HS55" s="966"/>
      <c r="HT55" s="966"/>
      <c r="HU55" s="965"/>
      <c r="HV55" s="966"/>
      <c r="HW55" s="973"/>
      <c r="HX55" s="966"/>
      <c r="HY55" s="973"/>
      <c r="HZ55" s="978"/>
      <c r="IA55" s="978"/>
      <c r="IB55" s="966"/>
      <c r="IC55" s="966"/>
      <c r="ID55" s="966"/>
      <c r="IE55" s="966"/>
      <c r="IF55" s="966"/>
      <c r="IG55" s="966"/>
      <c r="IH55" s="965"/>
      <c r="II55" s="966"/>
      <c r="IJ55" s="973"/>
      <c r="IK55" s="966"/>
      <c r="IL55" s="973"/>
      <c r="IM55" s="978"/>
      <c r="IN55" s="978"/>
      <c r="IO55" s="966"/>
      <c r="IP55" s="966"/>
      <c r="IQ55" s="966"/>
      <c r="IR55" s="966"/>
      <c r="IS55" s="966"/>
      <c r="IT55" s="966"/>
      <c r="IU55" s="965"/>
      <c r="IV55" s="966"/>
      <c r="IW55" s="973"/>
      <c r="IX55" s="966"/>
      <c r="IY55" s="973"/>
      <c r="IZ55" s="978"/>
      <c r="JA55" s="978"/>
      <c r="JB55" s="966"/>
      <c r="JC55" s="966"/>
      <c r="JD55" s="966"/>
      <c r="JE55" s="966"/>
      <c r="JF55" s="966"/>
      <c r="JG55" s="966"/>
      <c r="JH55" s="965"/>
      <c r="JI55" s="966"/>
      <c r="JJ55" s="973"/>
      <c r="JK55" s="966"/>
      <c r="JL55" s="973"/>
      <c r="JM55" s="978"/>
      <c r="JN55" s="978"/>
      <c r="JO55" s="966"/>
      <c r="JP55" s="966"/>
      <c r="JQ55" s="966"/>
      <c r="JR55" s="966"/>
      <c r="JS55" s="966"/>
      <c r="JT55" s="966"/>
      <c r="JU55" s="965"/>
      <c r="JV55" s="966"/>
      <c r="JW55" s="973"/>
      <c r="JX55" s="966"/>
      <c r="JY55" s="973"/>
      <c r="JZ55" s="978"/>
      <c r="KA55" s="978"/>
      <c r="KB55" s="966"/>
      <c r="KC55" s="966"/>
      <c r="KD55" s="966"/>
      <c r="KE55" s="966"/>
      <c r="KF55" s="966"/>
      <c r="KG55" s="966"/>
      <c r="KH55" s="965"/>
      <c r="KI55" s="966"/>
      <c r="KJ55" s="973"/>
      <c r="KK55" s="966"/>
      <c r="KL55" s="973"/>
      <c r="KM55" s="978"/>
      <c r="KN55" s="978"/>
      <c r="KO55" s="966"/>
      <c r="KP55" s="966"/>
      <c r="KQ55" s="966"/>
      <c r="KR55" s="966"/>
      <c r="KS55" s="966"/>
      <c r="KT55" s="966"/>
      <c r="KU55" s="965"/>
      <c r="KV55" s="966"/>
      <c r="KW55" s="973"/>
      <c r="KX55" s="966"/>
      <c r="KY55" s="973"/>
      <c r="KZ55" s="978"/>
      <c r="LA55" s="978"/>
      <c r="LB55" s="966"/>
      <c r="LC55" s="966"/>
      <c r="LD55" s="966"/>
      <c r="LE55" s="966"/>
      <c r="LF55" s="966"/>
      <c r="LG55" s="966"/>
      <c r="LH55" s="965"/>
      <c r="LI55" s="966"/>
      <c r="LJ55" s="973"/>
      <c r="LK55" s="966"/>
      <c r="LL55" s="973"/>
      <c r="LM55" s="978"/>
      <c r="LN55" s="978"/>
      <c r="LO55" s="966"/>
      <c r="LP55" s="966"/>
      <c r="LQ55" s="966"/>
      <c r="LR55" s="966"/>
      <c r="LS55" s="966"/>
      <c r="LT55" s="966"/>
      <c r="LU55" s="965"/>
      <c r="LV55" s="966"/>
      <c r="LW55" s="973"/>
      <c r="LX55" s="966"/>
      <c r="LY55" s="973"/>
      <c r="LZ55" s="978"/>
      <c r="MA55" s="978"/>
      <c r="MB55" s="966"/>
      <c r="MC55" s="966"/>
      <c r="MD55" s="966"/>
      <c r="ME55" s="966"/>
      <c r="MF55" s="966"/>
      <c r="MG55" s="966"/>
    </row>
    <row r="56" spans="2:345">
      <c r="B56" s="196">
        <f>INDEX(Groups!$C$7:$C$65,MATCH(C56,Groups!$D$7:$D$65,0))</f>
        <v>61</v>
      </c>
      <c r="C56" s="197" t="str">
        <f>CalcH!$P$23</f>
        <v>Saoedi-Arabië</v>
      </c>
      <c r="D56" s="198">
        <f>INDEX(Groups!$C$7:$C$65,MATCH(E56,Groups!$D$7:$D$65,0))</f>
        <v>17</v>
      </c>
      <c r="E56" s="197" t="str">
        <f>CalcH!$Q$23</f>
        <v>Uruguay</v>
      </c>
      <c r="F56" s="725" t="str">
        <f>CalcH!$R$23</f>
        <v/>
      </c>
      <c r="G56" s="200" t="str">
        <f>CalcH!$S$23</f>
        <v/>
      </c>
      <c r="I56" s="196">
        <f t="shared" si="18"/>
        <v>61</v>
      </c>
      <c r="J56" s="197" t="str">
        <f t="shared" si="31"/>
        <v>Saoedi-Arabië</v>
      </c>
      <c r="K56" s="198">
        <f t="shared" si="1"/>
        <v>17</v>
      </c>
      <c r="L56" s="197" t="str">
        <f t="shared" si="32"/>
        <v>Uruguay</v>
      </c>
      <c r="M56" s="232"/>
      <c r="N56" s="232"/>
      <c r="O56" s="228"/>
      <c r="P56" s="198" t="str">
        <f t="shared" si="33"/>
        <v/>
      </c>
      <c r="Q56" s="198" t="str">
        <f>IF((P56&lt;&gt;""),IF(OR($F56&lt;&gt;$G56,PrSettings!$M$4="●"),(($F56-$G56)=(M56-N56))*1,0),"")</f>
        <v/>
      </c>
      <c r="R56" s="198" t="str">
        <f t="shared" si="34"/>
        <v/>
      </c>
      <c r="S56" s="198" t="str">
        <f>IF(P56&lt;&gt;"",IF(ABS($F56-$G56)&gt;=PrSettings!$M$7,(ABS($F56-$G56-M56+N56)&lt;=1)*1,IF(AND(P56,$F56=$G56,$F56&gt;=PrSettings!$M$6),(ABS(M56-$F56)&lt;=1)*1,IF(AND(P56,$F56+$G56&gt;=PrSettings!$M$8),(ABS(M56-$F56)+ABS(N56-$G56)&lt;=1)*1,""))),"")</f>
        <v/>
      </c>
      <c r="T56" s="989"/>
      <c r="U56" s="965"/>
      <c r="V56" s="966"/>
      <c r="W56" s="973"/>
      <c r="X56" s="966"/>
      <c r="Y56" s="973"/>
      <c r="Z56" s="978"/>
      <c r="AA56" s="978"/>
      <c r="AB56" s="966"/>
      <c r="AC56" s="966"/>
      <c r="AD56" s="966"/>
      <c r="AE56" s="966"/>
      <c r="AF56" s="966"/>
      <c r="AG56" s="966"/>
      <c r="AH56" s="965"/>
      <c r="AI56" s="966"/>
      <c r="AJ56" s="973"/>
      <c r="AK56" s="966"/>
      <c r="AL56" s="973"/>
      <c r="AM56" s="978"/>
      <c r="AN56" s="978"/>
      <c r="AO56" s="966"/>
      <c r="AP56" s="966"/>
      <c r="AQ56" s="966"/>
      <c r="AR56" s="966"/>
      <c r="AS56" s="966"/>
      <c r="AT56" s="966"/>
      <c r="AU56" s="965"/>
      <c r="AV56" s="966"/>
      <c r="AW56" s="973"/>
      <c r="AX56" s="966"/>
      <c r="AY56" s="973"/>
      <c r="AZ56" s="978"/>
      <c r="BA56" s="978"/>
      <c r="BB56" s="966"/>
      <c r="BC56" s="966"/>
      <c r="BD56" s="966"/>
      <c r="BE56" s="966"/>
      <c r="BF56" s="966"/>
      <c r="BG56" s="966"/>
      <c r="BH56" s="965"/>
      <c r="BI56" s="966"/>
      <c r="BJ56" s="973"/>
      <c r="BK56" s="966"/>
      <c r="BL56" s="973"/>
      <c r="BM56" s="978"/>
      <c r="BN56" s="978"/>
      <c r="BO56" s="966"/>
      <c r="BP56" s="966"/>
      <c r="BQ56" s="966"/>
      <c r="BR56" s="966"/>
      <c r="BS56" s="966"/>
      <c r="BT56" s="966"/>
      <c r="BU56" s="965"/>
      <c r="BV56" s="966"/>
      <c r="BW56" s="973"/>
      <c r="BX56" s="966"/>
      <c r="BY56" s="973"/>
      <c r="BZ56" s="978"/>
      <c r="CA56" s="978"/>
      <c r="CB56" s="966"/>
      <c r="CC56" s="966"/>
      <c r="CD56" s="966"/>
      <c r="CE56" s="966"/>
      <c r="CF56" s="966"/>
      <c r="CG56" s="966"/>
      <c r="CH56" s="965"/>
      <c r="CI56" s="966"/>
      <c r="CJ56" s="973"/>
      <c r="CK56" s="966"/>
      <c r="CL56" s="973"/>
      <c r="CM56" s="978"/>
      <c r="CN56" s="978"/>
      <c r="CO56" s="966"/>
      <c r="CP56" s="966"/>
      <c r="CQ56" s="966"/>
      <c r="CR56" s="966"/>
      <c r="CS56" s="966"/>
      <c r="CT56" s="966"/>
      <c r="CU56" s="965"/>
      <c r="CV56" s="966"/>
      <c r="CW56" s="973"/>
      <c r="CX56" s="966"/>
      <c r="CY56" s="973"/>
      <c r="CZ56" s="978"/>
      <c r="DA56" s="978"/>
      <c r="DB56" s="966"/>
      <c r="DC56" s="966"/>
      <c r="DD56" s="966"/>
      <c r="DE56" s="966"/>
      <c r="DF56" s="966"/>
      <c r="DG56" s="966"/>
      <c r="DH56" s="965"/>
      <c r="DI56" s="966"/>
      <c r="DJ56" s="973"/>
      <c r="DK56" s="966"/>
      <c r="DL56" s="973"/>
      <c r="DM56" s="978"/>
      <c r="DN56" s="978"/>
      <c r="DO56" s="966"/>
      <c r="DP56" s="966"/>
      <c r="DQ56" s="966"/>
      <c r="DR56" s="966"/>
      <c r="DS56" s="966"/>
      <c r="DT56" s="966"/>
      <c r="DU56" s="965"/>
      <c r="DV56" s="966"/>
      <c r="DW56" s="973"/>
      <c r="DX56" s="966"/>
      <c r="DY56" s="973"/>
      <c r="DZ56" s="978"/>
      <c r="EA56" s="978"/>
      <c r="EB56" s="966"/>
      <c r="EC56" s="966"/>
      <c r="ED56" s="966"/>
      <c r="EE56" s="966"/>
      <c r="EF56" s="966"/>
      <c r="EG56" s="966"/>
      <c r="EH56" s="965"/>
      <c r="EI56" s="966"/>
      <c r="EJ56" s="973"/>
      <c r="EK56" s="966"/>
      <c r="EL56" s="973"/>
      <c r="EM56" s="978"/>
      <c r="EN56" s="978"/>
      <c r="EO56" s="966"/>
      <c r="EP56" s="966"/>
      <c r="EQ56" s="966"/>
      <c r="ER56" s="966"/>
      <c r="ES56" s="966"/>
      <c r="ET56" s="966"/>
      <c r="EU56" s="965"/>
      <c r="EV56" s="966"/>
      <c r="EW56" s="973"/>
      <c r="EX56" s="966"/>
      <c r="EY56" s="973"/>
      <c r="EZ56" s="978"/>
      <c r="FA56" s="978"/>
      <c r="FB56" s="966"/>
      <c r="FC56" s="966"/>
      <c r="FD56" s="966"/>
      <c r="FE56" s="966"/>
      <c r="FF56" s="966"/>
      <c r="FG56" s="966"/>
      <c r="FH56" s="965"/>
      <c r="FI56" s="966"/>
      <c r="FJ56" s="973"/>
      <c r="FK56" s="966"/>
      <c r="FL56" s="973"/>
      <c r="FM56" s="978"/>
      <c r="FN56" s="978"/>
      <c r="FO56" s="966"/>
      <c r="FP56" s="966"/>
      <c r="FQ56" s="966"/>
      <c r="FR56" s="966"/>
      <c r="FS56" s="966"/>
      <c r="FT56" s="966"/>
      <c r="FU56" s="965"/>
      <c r="FV56" s="966"/>
      <c r="FW56" s="973"/>
      <c r="FX56" s="966"/>
      <c r="FY56" s="973"/>
      <c r="FZ56" s="978"/>
      <c r="GA56" s="978"/>
      <c r="GB56" s="966"/>
      <c r="GC56" s="966"/>
      <c r="GD56" s="966"/>
      <c r="GE56" s="966"/>
      <c r="GF56" s="966"/>
      <c r="GG56" s="966"/>
      <c r="GH56" s="965"/>
      <c r="GI56" s="966"/>
      <c r="GJ56" s="973"/>
      <c r="GK56" s="966"/>
      <c r="GL56" s="973"/>
      <c r="GM56" s="978"/>
      <c r="GN56" s="978"/>
      <c r="GO56" s="966"/>
      <c r="GP56" s="966"/>
      <c r="GQ56" s="966"/>
      <c r="GR56" s="966"/>
      <c r="GS56" s="966"/>
      <c r="GT56" s="966"/>
      <c r="GU56" s="965"/>
      <c r="GV56" s="966"/>
      <c r="GW56" s="973"/>
      <c r="GX56" s="966"/>
      <c r="GY56" s="973"/>
      <c r="GZ56" s="978"/>
      <c r="HA56" s="978"/>
      <c r="HB56" s="966"/>
      <c r="HC56" s="966"/>
      <c r="HD56" s="966"/>
      <c r="HE56" s="966"/>
      <c r="HF56" s="966"/>
      <c r="HG56" s="966"/>
      <c r="HH56" s="965"/>
      <c r="HI56" s="966"/>
      <c r="HJ56" s="973"/>
      <c r="HK56" s="966"/>
      <c r="HL56" s="973"/>
      <c r="HM56" s="978"/>
      <c r="HN56" s="978"/>
      <c r="HO56" s="966"/>
      <c r="HP56" s="966"/>
      <c r="HQ56" s="966"/>
      <c r="HR56" s="966"/>
      <c r="HS56" s="966"/>
      <c r="HT56" s="966"/>
      <c r="HU56" s="965"/>
      <c r="HV56" s="966"/>
      <c r="HW56" s="973"/>
      <c r="HX56" s="966"/>
      <c r="HY56" s="973"/>
      <c r="HZ56" s="978"/>
      <c r="IA56" s="978"/>
      <c r="IB56" s="966"/>
      <c r="IC56" s="966"/>
      <c r="ID56" s="966"/>
      <c r="IE56" s="966"/>
      <c r="IF56" s="966"/>
      <c r="IG56" s="966"/>
      <c r="IH56" s="965"/>
      <c r="II56" s="966"/>
      <c r="IJ56" s="973"/>
      <c r="IK56" s="966"/>
      <c r="IL56" s="973"/>
      <c r="IM56" s="978"/>
      <c r="IN56" s="978"/>
      <c r="IO56" s="966"/>
      <c r="IP56" s="966"/>
      <c r="IQ56" s="966"/>
      <c r="IR56" s="966"/>
      <c r="IS56" s="966"/>
      <c r="IT56" s="966"/>
      <c r="IU56" s="965"/>
      <c r="IV56" s="966"/>
      <c r="IW56" s="973"/>
      <c r="IX56" s="966"/>
      <c r="IY56" s="973"/>
      <c r="IZ56" s="978"/>
      <c r="JA56" s="978"/>
      <c r="JB56" s="966"/>
      <c r="JC56" s="966"/>
      <c r="JD56" s="966"/>
      <c r="JE56" s="966"/>
      <c r="JF56" s="966"/>
      <c r="JG56" s="966"/>
      <c r="JH56" s="965"/>
      <c r="JI56" s="966"/>
      <c r="JJ56" s="973"/>
      <c r="JK56" s="966"/>
      <c r="JL56" s="973"/>
      <c r="JM56" s="978"/>
      <c r="JN56" s="978"/>
      <c r="JO56" s="966"/>
      <c r="JP56" s="966"/>
      <c r="JQ56" s="966"/>
      <c r="JR56" s="966"/>
      <c r="JS56" s="966"/>
      <c r="JT56" s="966"/>
      <c r="JU56" s="965"/>
      <c r="JV56" s="966"/>
      <c r="JW56" s="973"/>
      <c r="JX56" s="966"/>
      <c r="JY56" s="973"/>
      <c r="JZ56" s="978"/>
      <c r="KA56" s="978"/>
      <c r="KB56" s="966"/>
      <c r="KC56" s="966"/>
      <c r="KD56" s="966"/>
      <c r="KE56" s="966"/>
      <c r="KF56" s="966"/>
      <c r="KG56" s="966"/>
      <c r="KH56" s="965"/>
      <c r="KI56" s="966"/>
      <c r="KJ56" s="973"/>
      <c r="KK56" s="966"/>
      <c r="KL56" s="973"/>
      <c r="KM56" s="978"/>
      <c r="KN56" s="978"/>
      <c r="KO56" s="966"/>
      <c r="KP56" s="966"/>
      <c r="KQ56" s="966"/>
      <c r="KR56" s="966"/>
      <c r="KS56" s="966"/>
      <c r="KT56" s="966"/>
      <c r="KU56" s="965"/>
      <c r="KV56" s="966"/>
      <c r="KW56" s="973"/>
      <c r="KX56" s="966"/>
      <c r="KY56" s="973"/>
      <c r="KZ56" s="978"/>
      <c r="LA56" s="978"/>
      <c r="LB56" s="966"/>
      <c r="LC56" s="966"/>
      <c r="LD56" s="966"/>
      <c r="LE56" s="966"/>
      <c r="LF56" s="966"/>
      <c r="LG56" s="966"/>
      <c r="LH56" s="965"/>
      <c r="LI56" s="966"/>
      <c r="LJ56" s="973"/>
      <c r="LK56" s="966"/>
      <c r="LL56" s="973"/>
      <c r="LM56" s="978"/>
      <c r="LN56" s="978"/>
      <c r="LO56" s="966"/>
      <c r="LP56" s="966"/>
      <c r="LQ56" s="966"/>
      <c r="LR56" s="966"/>
      <c r="LS56" s="966"/>
      <c r="LT56" s="966"/>
      <c r="LU56" s="965"/>
      <c r="LV56" s="966"/>
      <c r="LW56" s="973"/>
      <c r="LX56" s="966"/>
      <c r="LY56" s="973"/>
      <c r="LZ56" s="978"/>
      <c r="MA56" s="978"/>
      <c r="MB56" s="966"/>
      <c r="MC56" s="966"/>
      <c r="MD56" s="966"/>
      <c r="ME56" s="966"/>
      <c r="MF56" s="966"/>
      <c r="MG56" s="966"/>
    </row>
    <row r="57" spans="2:345">
      <c r="B57" s="196">
        <f>INDEX(Groups!$C$7:$C$65,MATCH(C57,Groups!$D$7:$D$65,0))</f>
        <v>2</v>
      </c>
      <c r="C57" s="197" t="str">
        <f>CalcH!$P$24</f>
        <v>Spanje</v>
      </c>
      <c r="D57" s="198">
        <f>INDEX(Groups!$C$7:$C$65,MATCH(E57,Groups!$D$7:$D$65,0))</f>
        <v>61</v>
      </c>
      <c r="E57" s="197" t="str">
        <f>CalcH!$Q$24</f>
        <v>Saoedi-Arabië</v>
      </c>
      <c r="F57" s="199" t="str">
        <f>CalcH!$R$24</f>
        <v/>
      </c>
      <c r="G57" s="200" t="str">
        <f>CalcH!$S$24</f>
        <v/>
      </c>
      <c r="I57" s="196">
        <f t="shared" si="18"/>
        <v>2</v>
      </c>
      <c r="J57" s="197" t="str">
        <f t="shared" si="31"/>
        <v>Spanje</v>
      </c>
      <c r="K57" s="198">
        <f t="shared" si="1"/>
        <v>61</v>
      </c>
      <c r="L57" s="197" t="str">
        <f t="shared" si="32"/>
        <v>Saoedi-Arabië</v>
      </c>
      <c r="M57" s="232"/>
      <c r="N57" s="232"/>
      <c r="O57" s="228"/>
      <c r="P57" s="198" t="str">
        <f t="shared" si="33"/>
        <v/>
      </c>
      <c r="Q57" s="198" t="str">
        <f>IF((P57&lt;&gt;""),IF(OR($F57&lt;&gt;$G57,PrSettings!$M$4="●"),(($F57-$G57)=(M57-N57))*1,0),"")</f>
        <v/>
      </c>
      <c r="R57" s="198" t="str">
        <f t="shared" si="34"/>
        <v/>
      </c>
      <c r="S57" s="198" t="str">
        <f>IF(P57&lt;&gt;"",IF(ABS($F57-$G57)&gt;=PrSettings!$M$7,(ABS($F57-$G57-M57+N57)&lt;=1)*1,IF(AND(P57,$F57=$G57,$F57&gt;=PrSettings!$M$6),(ABS(M57-$F57)&lt;=1)*1,IF(AND(P57,$F57+$G57&gt;=PrSettings!$M$8),(ABS(M57-$F57)+ABS(N57-$G57)&lt;=1)*1,""))),"")</f>
        <v/>
      </c>
      <c r="T57" s="989"/>
      <c r="U57" s="965"/>
      <c r="V57" s="966"/>
      <c r="W57" s="973"/>
      <c r="X57" s="966"/>
      <c r="Y57" s="973"/>
      <c r="Z57" s="978"/>
      <c r="AA57" s="978"/>
      <c r="AB57" s="966"/>
      <c r="AC57" s="966"/>
      <c r="AD57" s="966"/>
      <c r="AE57" s="966"/>
      <c r="AF57" s="966"/>
      <c r="AG57" s="966"/>
      <c r="AH57" s="965"/>
      <c r="AI57" s="966"/>
      <c r="AJ57" s="973"/>
      <c r="AK57" s="966"/>
      <c r="AL57" s="973"/>
      <c r="AM57" s="978"/>
      <c r="AN57" s="978"/>
      <c r="AO57" s="966"/>
      <c r="AP57" s="966"/>
      <c r="AQ57" s="966"/>
      <c r="AR57" s="966"/>
      <c r="AS57" s="966"/>
      <c r="AT57" s="966"/>
      <c r="AU57" s="965"/>
      <c r="AV57" s="966"/>
      <c r="AW57" s="973"/>
      <c r="AX57" s="966"/>
      <c r="AY57" s="973"/>
      <c r="AZ57" s="978"/>
      <c r="BA57" s="978"/>
      <c r="BB57" s="966"/>
      <c r="BC57" s="966"/>
      <c r="BD57" s="966"/>
      <c r="BE57" s="966"/>
      <c r="BF57" s="966"/>
      <c r="BG57" s="966"/>
      <c r="BH57" s="965"/>
      <c r="BI57" s="966"/>
      <c r="BJ57" s="973"/>
      <c r="BK57" s="966"/>
      <c r="BL57" s="973"/>
      <c r="BM57" s="978"/>
      <c r="BN57" s="978"/>
      <c r="BO57" s="966"/>
      <c r="BP57" s="966"/>
      <c r="BQ57" s="966"/>
      <c r="BR57" s="966"/>
      <c r="BS57" s="966"/>
      <c r="BT57" s="966"/>
      <c r="BU57" s="965"/>
      <c r="BV57" s="966"/>
      <c r="BW57" s="973"/>
      <c r="BX57" s="966"/>
      <c r="BY57" s="973"/>
      <c r="BZ57" s="978"/>
      <c r="CA57" s="978"/>
      <c r="CB57" s="966"/>
      <c r="CC57" s="966"/>
      <c r="CD57" s="966"/>
      <c r="CE57" s="966"/>
      <c r="CF57" s="966"/>
      <c r="CG57" s="966"/>
      <c r="CH57" s="965"/>
      <c r="CI57" s="966"/>
      <c r="CJ57" s="973"/>
      <c r="CK57" s="966"/>
      <c r="CL57" s="973"/>
      <c r="CM57" s="978"/>
      <c r="CN57" s="978"/>
      <c r="CO57" s="966"/>
      <c r="CP57" s="966"/>
      <c r="CQ57" s="966"/>
      <c r="CR57" s="966"/>
      <c r="CS57" s="966"/>
      <c r="CT57" s="966"/>
      <c r="CU57" s="965"/>
      <c r="CV57" s="966"/>
      <c r="CW57" s="973"/>
      <c r="CX57" s="966"/>
      <c r="CY57" s="973"/>
      <c r="CZ57" s="978"/>
      <c r="DA57" s="978"/>
      <c r="DB57" s="966"/>
      <c r="DC57" s="966"/>
      <c r="DD57" s="966"/>
      <c r="DE57" s="966"/>
      <c r="DF57" s="966"/>
      <c r="DG57" s="966"/>
      <c r="DH57" s="965"/>
      <c r="DI57" s="966"/>
      <c r="DJ57" s="973"/>
      <c r="DK57" s="966"/>
      <c r="DL57" s="973"/>
      <c r="DM57" s="978"/>
      <c r="DN57" s="978"/>
      <c r="DO57" s="966"/>
      <c r="DP57" s="966"/>
      <c r="DQ57" s="966"/>
      <c r="DR57" s="966"/>
      <c r="DS57" s="966"/>
      <c r="DT57" s="966"/>
      <c r="DU57" s="965"/>
      <c r="DV57" s="966"/>
      <c r="DW57" s="973"/>
      <c r="DX57" s="966"/>
      <c r="DY57" s="973"/>
      <c r="DZ57" s="978"/>
      <c r="EA57" s="978"/>
      <c r="EB57" s="966"/>
      <c r="EC57" s="966"/>
      <c r="ED57" s="966"/>
      <c r="EE57" s="966"/>
      <c r="EF57" s="966"/>
      <c r="EG57" s="966"/>
      <c r="EH57" s="965"/>
      <c r="EI57" s="966"/>
      <c r="EJ57" s="973"/>
      <c r="EK57" s="966"/>
      <c r="EL57" s="973"/>
      <c r="EM57" s="978"/>
      <c r="EN57" s="978"/>
      <c r="EO57" s="966"/>
      <c r="EP57" s="966"/>
      <c r="EQ57" s="966"/>
      <c r="ER57" s="966"/>
      <c r="ES57" s="966"/>
      <c r="ET57" s="966"/>
      <c r="EU57" s="965"/>
      <c r="EV57" s="966"/>
      <c r="EW57" s="973"/>
      <c r="EX57" s="966"/>
      <c r="EY57" s="973"/>
      <c r="EZ57" s="978"/>
      <c r="FA57" s="978"/>
      <c r="FB57" s="966"/>
      <c r="FC57" s="966"/>
      <c r="FD57" s="966"/>
      <c r="FE57" s="966"/>
      <c r="FF57" s="966"/>
      <c r="FG57" s="966"/>
      <c r="FH57" s="965"/>
      <c r="FI57" s="966"/>
      <c r="FJ57" s="973"/>
      <c r="FK57" s="966"/>
      <c r="FL57" s="973"/>
      <c r="FM57" s="978"/>
      <c r="FN57" s="978"/>
      <c r="FO57" s="966"/>
      <c r="FP57" s="966"/>
      <c r="FQ57" s="966"/>
      <c r="FR57" s="966"/>
      <c r="FS57" s="966"/>
      <c r="FT57" s="966"/>
      <c r="FU57" s="965"/>
      <c r="FV57" s="966"/>
      <c r="FW57" s="973"/>
      <c r="FX57" s="966"/>
      <c r="FY57" s="973"/>
      <c r="FZ57" s="978"/>
      <c r="GA57" s="978"/>
      <c r="GB57" s="966"/>
      <c r="GC57" s="966"/>
      <c r="GD57" s="966"/>
      <c r="GE57" s="966"/>
      <c r="GF57" s="966"/>
      <c r="GG57" s="966"/>
      <c r="GH57" s="965"/>
      <c r="GI57" s="966"/>
      <c r="GJ57" s="973"/>
      <c r="GK57" s="966"/>
      <c r="GL57" s="973"/>
      <c r="GM57" s="978"/>
      <c r="GN57" s="978"/>
      <c r="GO57" s="966"/>
      <c r="GP57" s="966"/>
      <c r="GQ57" s="966"/>
      <c r="GR57" s="966"/>
      <c r="GS57" s="966"/>
      <c r="GT57" s="966"/>
      <c r="GU57" s="965"/>
      <c r="GV57" s="966"/>
      <c r="GW57" s="973"/>
      <c r="GX57" s="966"/>
      <c r="GY57" s="973"/>
      <c r="GZ57" s="978"/>
      <c r="HA57" s="978"/>
      <c r="HB57" s="966"/>
      <c r="HC57" s="966"/>
      <c r="HD57" s="966"/>
      <c r="HE57" s="966"/>
      <c r="HF57" s="966"/>
      <c r="HG57" s="966"/>
      <c r="HH57" s="965"/>
      <c r="HI57" s="966"/>
      <c r="HJ57" s="973"/>
      <c r="HK57" s="966"/>
      <c r="HL57" s="973"/>
      <c r="HM57" s="978"/>
      <c r="HN57" s="978"/>
      <c r="HO57" s="966"/>
      <c r="HP57" s="966"/>
      <c r="HQ57" s="966"/>
      <c r="HR57" s="966"/>
      <c r="HS57" s="966"/>
      <c r="HT57" s="966"/>
      <c r="HU57" s="965"/>
      <c r="HV57" s="966"/>
      <c r="HW57" s="973"/>
      <c r="HX57" s="966"/>
      <c r="HY57" s="973"/>
      <c r="HZ57" s="978"/>
      <c r="IA57" s="978"/>
      <c r="IB57" s="966"/>
      <c r="IC57" s="966"/>
      <c r="ID57" s="966"/>
      <c r="IE57" s="966"/>
      <c r="IF57" s="966"/>
      <c r="IG57" s="966"/>
      <c r="IH57" s="965"/>
      <c r="II57" s="966"/>
      <c r="IJ57" s="973"/>
      <c r="IK57" s="966"/>
      <c r="IL57" s="973"/>
      <c r="IM57" s="978"/>
      <c r="IN57" s="978"/>
      <c r="IO57" s="966"/>
      <c r="IP57" s="966"/>
      <c r="IQ57" s="966"/>
      <c r="IR57" s="966"/>
      <c r="IS57" s="966"/>
      <c r="IT57" s="966"/>
      <c r="IU57" s="965"/>
      <c r="IV57" s="966"/>
      <c r="IW57" s="973"/>
      <c r="IX57" s="966"/>
      <c r="IY57" s="973"/>
      <c r="IZ57" s="978"/>
      <c r="JA57" s="978"/>
      <c r="JB57" s="966"/>
      <c r="JC57" s="966"/>
      <c r="JD57" s="966"/>
      <c r="JE57" s="966"/>
      <c r="JF57" s="966"/>
      <c r="JG57" s="966"/>
      <c r="JH57" s="965"/>
      <c r="JI57" s="966"/>
      <c r="JJ57" s="973"/>
      <c r="JK57" s="966"/>
      <c r="JL57" s="973"/>
      <c r="JM57" s="978"/>
      <c r="JN57" s="978"/>
      <c r="JO57" s="966"/>
      <c r="JP57" s="966"/>
      <c r="JQ57" s="966"/>
      <c r="JR57" s="966"/>
      <c r="JS57" s="966"/>
      <c r="JT57" s="966"/>
      <c r="JU57" s="965"/>
      <c r="JV57" s="966"/>
      <c r="JW57" s="973"/>
      <c r="JX57" s="966"/>
      <c r="JY57" s="973"/>
      <c r="JZ57" s="978"/>
      <c r="KA57" s="978"/>
      <c r="KB57" s="966"/>
      <c r="KC57" s="966"/>
      <c r="KD57" s="966"/>
      <c r="KE57" s="966"/>
      <c r="KF57" s="966"/>
      <c r="KG57" s="966"/>
      <c r="KH57" s="965"/>
      <c r="KI57" s="966"/>
      <c r="KJ57" s="973"/>
      <c r="KK57" s="966"/>
      <c r="KL57" s="973"/>
      <c r="KM57" s="978"/>
      <c r="KN57" s="978"/>
      <c r="KO57" s="966"/>
      <c r="KP57" s="966"/>
      <c r="KQ57" s="966"/>
      <c r="KR57" s="966"/>
      <c r="KS57" s="966"/>
      <c r="KT57" s="966"/>
      <c r="KU57" s="965"/>
      <c r="KV57" s="966"/>
      <c r="KW57" s="973"/>
      <c r="KX57" s="966"/>
      <c r="KY57" s="973"/>
      <c r="KZ57" s="978"/>
      <c r="LA57" s="978"/>
      <c r="LB57" s="966"/>
      <c r="LC57" s="966"/>
      <c r="LD57" s="966"/>
      <c r="LE57" s="966"/>
      <c r="LF57" s="966"/>
      <c r="LG57" s="966"/>
      <c r="LH57" s="965"/>
      <c r="LI57" s="966"/>
      <c r="LJ57" s="973"/>
      <c r="LK57" s="966"/>
      <c r="LL57" s="973"/>
      <c r="LM57" s="978"/>
      <c r="LN57" s="978"/>
      <c r="LO57" s="966"/>
      <c r="LP57" s="966"/>
      <c r="LQ57" s="966"/>
      <c r="LR57" s="966"/>
      <c r="LS57" s="966"/>
      <c r="LT57" s="966"/>
      <c r="LU57" s="965"/>
      <c r="LV57" s="966"/>
      <c r="LW57" s="973"/>
      <c r="LX57" s="966"/>
      <c r="LY57" s="973"/>
      <c r="LZ57" s="978"/>
      <c r="MA57" s="978"/>
      <c r="MB57" s="966"/>
      <c r="MC57" s="966"/>
      <c r="MD57" s="966"/>
      <c r="ME57" s="966"/>
      <c r="MF57" s="966"/>
      <c r="MG57" s="966"/>
    </row>
    <row r="58" spans="2:345">
      <c r="B58" s="196">
        <f>INDEX(Groups!$C$7:$C$65,MATCH(C58,Groups!$D$7:$D$65,0))</f>
        <v>17</v>
      </c>
      <c r="C58" s="197" t="str">
        <f>CalcH!$P$25</f>
        <v>Uruguay</v>
      </c>
      <c r="D58" s="198">
        <f>INDEX(Groups!$C$7:$C$65,MATCH(E58,Groups!$D$7:$D$65,0))</f>
        <v>69</v>
      </c>
      <c r="E58" s="197" t="str">
        <f>CalcH!$Q$25</f>
        <v>Kaapverdië</v>
      </c>
      <c r="F58" s="199" t="str">
        <f>CalcH!$R$25</f>
        <v/>
      </c>
      <c r="G58" s="200" t="str">
        <f>CalcH!$S$25</f>
        <v/>
      </c>
      <c r="I58" s="196">
        <f t="shared" si="18"/>
        <v>17</v>
      </c>
      <c r="J58" s="197" t="str">
        <f t="shared" si="31"/>
        <v>Uruguay</v>
      </c>
      <c r="K58" s="198">
        <f t="shared" si="1"/>
        <v>69</v>
      </c>
      <c r="L58" s="197" t="str">
        <f t="shared" si="32"/>
        <v>Kaapverdië</v>
      </c>
      <c r="M58" s="232"/>
      <c r="N58" s="232"/>
      <c r="O58" s="228"/>
      <c r="P58" s="198" t="str">
        <f t="shared" si="33"/>
        <v/>
      </c>
      <c r="Q58" s="198" t="str">
        <f>IF((P58&lt;&gt;""),IF(OR($F58&lt;&gt;$G58,PrSettings!$M$4="●"),(($F58-$G58)=(M58-N58))*1,0),"")</f>
        <v/>
      </c>
      <c r="R58" s="198" t="str">
        <f t="shared" si="34"/>
        <v/>
      </c>
      <c r="S58" s="198" t="str">
        <f>IF(P58&lt;&gt;"",IF(ABS($F58-$G58)&gt;=PrSettings!$M$7,(ABS($F58-$G58-M58+N58)&lt;=1)*1,IF(AND(P58,$F58=$G58,$F58&gt;=PrSettings!$M$6),(ABS(M58-$F58)&lt;=1)*1,IF(AND(P58,$F58+$G58&gt;=PrSettings!$M$8),(ABS(M58-$F58)+ABS(N58-$G58)&lt;=1)*1,""))),"")</f>
        <v/>
      </c>
      <c r="T58" s="989"/>
      <c r="U58" s="965"/>
      <c r="V58" s="966"/>
      <c r="W58" s="973"/>
      <c r="X58" s="966"/>
      <c r="Y58" s="973"/>
      <c r="Z58" s="978"/>
      <c r="AA58" s="978"/>
      <c r="AB58" s="966"/>
      <c r="AC58" s="966"/>
      <c r="AD58" s="966"/>
      <c r="AE58" s="966"/>
      <c r="AF58" s="966"/>
      <c r="AG58" s="966"/>
      <c r="AH58" s="965"/>
      <c r="AI58" s="966"/>
      <c r="AJ58" s="973"/>
      <c r="AK58" s="966"/>
      <c r="AL58" s="973"/>
      <c r="AM58" s="978"/>
      <c r="AN58" s="978"/>
      <c r="AO58" s="966"/>
      <c r="AP58" s="966"/>
      <c r="AQ58" s="966"/>
      <c r="AR58" s="966"/>
      <c r="AS58" s="966"/>
      <c r="AT58" s="966"/>
      <c r="AU58" s="965"/>
      <c r="AV58" s="966"/>
      <c r="AW58" s="973"/>
      <c r="AX58" s="966"/>
      <c r="AY58" s="973"/>
      <c r="AZ58" s="978"/>
      <c r="BA58" s="978"/>
      <c r="BB58" s="966"/>
      <c r="BC58" s="966"/>
      <c r="BD58" s="966"/>
      <c r="BE58" s="966"/>
      <c r="BF58" s="966"/>
      <c r="BG58" s="966"/>
      <c r="BH58" s="965"/>
      <c r="BI58" s="966"/>
      <c r="BJ58" s="973"/>
      <c r="BK58" s="966"/>
      <c r="BL58" s="973"/>
      <c r="BM58" s="978"/>
      <c r="BN58" s="978"/>
      <c r="BO58" s="966"/>
      <c r="BP58" s="966"/>
      <c r="BQ58" s="966"/>
      <c r="BR58" s="966"/>
      <c r="BS58" s="966"/>
      <c r="BT58" s="966"/>
      <c r="BU58" s="965"/>
      <c r="BV58" s="966"/>
      <c r="BW58" s="973"/>
      <c r="BX58" s="966"/>
      <c r="BY58" s="973"/>
      <c r="BZ58" s="978"/>
      <c r="CA58" s="978"/>
      <c r="CB58" s="966"/>
      <c r="CC58" s="966"/>
      <c r="CD58" s="966"/>
      <c r="CE58" s="966"/>
      <c r="CF58" s="966"/>
      <c r="CG58" s="966"/>
      <c r="CH58" s="965"/>
      <c r="CI58" s="966"/>
      <c r="CJ58" s="973"/>
      <c r="CK58" s="966"/>
      <c r="CL58" s="973"/>
      <c r="CM58" s="978"/>
      <c r="CN58" s="978"/>
      <c r="CO58" s="966"/>
      <c r="CP58" s="966"/>
      <c r="CQ58" s="966"/>
      <c r="CR58" s="966"/>
      <c r="CS58" s="966"/>
      <c r="CT58" s="966"/>
      <c r="CU58" s="965"/>
      <c r="CV58" s="966"/>
      <c r="CW58" s="973"/>
      <c r="CX58" s="966"/>
      <c r="CY58" s="973"/>
      <c r="CZ58" s="978"/>
      <c r="DA58" s="978"/>
      <c r="DB58" s="966"/>
      <c r="DC58" s="966"/>
      <c r="DD58" s="966"/>
      <c r="DE58" s="966"/>
      <c r="DF58" s="966"/>
      <c r="DG58" s="966"/>
      <c r="DH58" s="965"/>
      <c r="DI58" s="966"/>
      <c r="DJ58" s="973"/>
      <c r="DK58" s="966"/>
      <c r="DL58" s="973"/>
      <c r="DM58" s="978"/>
      <c r="DN58" s="978"/>
      <c r="DO58" s="966"/>
      <c r="DP58" s="966"/>
      <c r="DQ58" s="966"/>
      <c r="DR58" s="966"/>
      <c r="DS58" s="966"/>
      <c r="DT58" s="966"/>
      <c r="DU58" s="965"/>
      <c r="DV58" s="966"/>
      <c r="DW58" s="973"/>
      <c r="DX58" s="966"/>
      <c r="DY58" s="973"/>
      <c r="DZ58" s="978"/>
      <c r="EA58" s="978"/>
      <c r="EB58" s="966"/>
      <c r="EC58" s="966"/>
      <c r="ED58" s="966"/>
      <c r="EE58" s="966"/>
      <c r="EF58" s="966"/>
      <c r="EG58" s="966"/>
      <c r="EH58" s="965"/>
      <c r="EI58" s="966"/>
      <c r="EJ58" s="973"/>
      <c r="EK58" s="966"/>
      <c r="EL58" s="973"/>
      <c r="EM58" s="978"/>
      <c r="EN58" s="978"/>
      <c r="EO58" s="966"/>
      <c r="EP58" s="966"/>
      <c r="EQ58" s="966"/>
      <c r="ER58" s="966"/>
      <c r="ES58" s="966"/>
      <c r="ET58" s="966"/>
      <c r="EU58" s="965"/>
      <c r="EV58" s="966"/>
      <c r="EW58" s="973"/>
      <c r="EX58" s="966"/>
      <c r="EY58" s="973"/>
      <c r="EZ58" s="978"/>
      <c r="FA58" s="978"/>
      <c r="FB58" s="966"/>
      <c r="FC58" s="966"/>
      <c r="FD58" s="966"/>
      <c r="FE58" s="966"/>
      <c r="FF58" s="966"/>
      <c r="FG58" s="966"/>
      <c r="FH58" s="965"/>
      <c r="FI58" s="966"/>
      <c r="FJ58" s="973"/>
      <c r="FK58" s="966"/>
      <c r="FL58" s="973"/>
      <c r="FM58" s="978"/>
      <c r="FN58" s="978"/>
      <c r="FO58" s="966"/>
      <c r="FP58" s="966"/>
      <c r="FQ58" s="966"/>
      <c r="FR58" s="966"/>
      <c r="FS58" s="966"/>
      <c r="FT58" s="966"/>
      <c r="FU58" s="965"/>
      <c r="FV58" s="966"/>
      <c r="FW58" s="973"/>
      <c r="FX58" s="966"/>
      <c r="FY58" s="973"/>
      <c r="FZ58" s="978"/>
      <c r="GA58" s="978"/>
      <c r="GB58" s="966"/>
      <c r="GC58" s="966"/>
      <c r="GD58" s="966"/>
      <c r="GE58" s="966"/>
      <c r="GF58" s="966"/>
      <c r="GG58" s="966"/>
      <c r="GH58" s="965"/>
      <c r="GI58" s="966"/>
      <c r="GJ58" s="973"/>
      <c r="GK58" s="966"/>
      <c r="GL58" s="973"/>
      <c r="GM58" s="978"/>
      <c r="GN58" s="978"/>
      <c r="GO58" s="966"/>
      <c r="GP58" s="966"/>
      <c r="GQ58" s="966"/>
      <c r="GR58" s="966"/>
      <c r="GS58" s="966"/>
      <c r="GT58" s="966"/>
      <c r="GU58" s="965"/>
      <c r="GV58" s="966"/>
      <c r="GW58" s="973"/>
      <c r="GX58" s="966"/>
      <c r="GY58" s="973"/>
      <c r="GZ58" s="978"/>
      <c r="HA58" s="978"/>
      <c r="HB58" s="966"/>
      <c r="HC58" s="966"/>
      <c r="HD58" s="966"/>
      <c r="HE58" s="966"/>
      <c r="HF58" s="966"/>
      <c r="HG58" s="966"/>
      <c r="HH58" s="965"/>
      <c r="HI58" s="966"/>
      <c r="HJ58" s="973"/>
      <c r="HK58" s="966"/>
      <c r="HL58" s="973"/>
      <c r="HM58" s="978"/>
      <c r="HN58" s="978"/>
      <c r="HO58" s="966"/>
      <c r="HP58" s="966"/>
      <c r="HQ58" s="966"/>
      <c r="HR58" s="966"/>
      <c r="HS58" s="966"/>
      <c r="HT58" s="966"/>
      <c r="HU58" s="965"/>
      <c r="HV58" s="966"/>
      <c r="HW58" s="973"/>
      <c r="HX58" s="966"/>
      <c r="HY58" s="973"/>
      <c r="HZ58" s="978"/>
      <c r="IA58" s="978"/>
      <c r="IB58" s="966"/>
      <c r="IC58" s="966"/>
      <c r="ID58" s="966"/>
      <c r="IE58" s="966"/>
      <c r="IF58" s="966"/>
      <c r="IG58" s="966"/>
      <c r="IH58" s="965"/>
      <c r="II58" s="966"/>
      <c r="IJ58" s="973"/>
      <c r="IK58" s="966"/>
      <c r="IL58" s="973"/>
      <c r="IM58" s="978"/>
      <c r="IN58" s="978"/>
      <c r="IO58" s="966"/>
      <c r="IP58" s="966"/>
      <c r="IQ58" s="966"/>
      <c r="IR58" s="966"/>
      <c r="IS58" s="966"/>
      <c r="IT58" s="966"/>
      <c r="IU58" s="965"/>
      <c r="IV58" s="966"/>
      <c r="IW58" s="973"/>
      <c r="IX58" s="966"/>
      <c r="IY58" s="973"/>
      <c r="IZ58" s="978"/>
      <c r="JA58" s="978"/>
      <c r="JB58" s="966"/>
      <c r="JC58" s="966"/>
      <c r="JD58" s="966"/>
      <c r="JE58" s="966"/>
      <c r="JF58" s="966"/>
      <c r="JG58" s="966"/>
      <c r="JH58" s="965"/>
      <c r="JI58" s="966"/>
      <c r="JJ58" s="973"/>
      <c r="JK58" s="966"/>
      <c r="JL58" s="973"/>
      <c r="JM58" s="978"/>
      <c r="JN58" s="978"/>
      <c r="JO58" s="966"/>
      <c r="JP58" s="966"/>
      <c r="JQ58" s="966"/>
      <c r="JR58" s="966"/>
      <c r="JS58" s="966"/>
      <c r="JT58" s="966"/>
      <c r="JU58" s="965"/>
      <c r="JV58" s="966"/>
      <c r="JW58" s="973"/>
      <c r="JX58" s="966"/>
      <c r="JY58" s="973"/>
      <c r="JZ58" s="978"/>
      <c r="KA58" s="978"/>
      <c r="KB58" s="966"/>
      <c r="KC58" s="966"/>
      <c r="KD58" s="966"/>
      <c r="KE58" s="966"/>
      <c r="KF58" s="966"/>
      <c r="KG58" s="966"/>
      <c r="KH58" s="965"/>
      <c r="KI58" s="966"/>
      <c r="KJ58" s="973"/>
      <c r="KK58" s="966"/>
      <c r="KL58" s="973"/>
      <c r="KM58" s="978"/>
      <c r="KN58" s="978"/>
      <c r="KO58" s="966"/>
      <c r="KP58" s="966"/>
      <c r="KQ58" s="966"/>
      <c r="KR58" s="966"/>
      <c r="KS58" s="966"/>
      <c r="KT58" s="966"/>
      <c r="KU58" s="965"/>
      <c r="KV58" s="966"/>
      <c r="KW58" s="973"/>
      <c r="KX58" s="966"/>
      <c r="KY58" s="973"/>
      <c r="KZ58" s="978"/>
      <c r="LA58" s="978"/>
      <c r="LB58" s="966"/>
      <c r="LC58" s="966"/>
      <c r="LD58" s="966"/>
      <c r="LE58" s="966"/>
      <c r="LF58" s="966"/>
      <c r="LG58" s="966"/>
      <c r="LH58" s="965"/>
      <c r="LI58" s="966"/>
      <c r="LJ58" s="973"/>
      <c r="LK58" s="966"/>
      <c r="LL58" s="973"/>
      <c r="LM58" s="978"/>
      <c r="LN58" s="978"/>
      <c r="LO58" s="966"/>
      <c r="LP58" s="966"/>
      <c r="LQ58" s="966"/>
      <c r="LR58" s="966"/>
      <c r="LS58" s="966"/>
      <c r="LT58" s="966"/>
      <c r="LU58" s="965"/>
      <c r="LV58" s="966"/>
      <c r="LW58" s="973"/>
      <c r="LX58" s="966"/>
      <c r="LY58" s="973"/>
      <c r="LZ58" s="978"/>
      <c r="MA58" s="978"/>
      <c r="MB58" s="966"/>
      <c r="MC58" s="966"/>
      <c r="MD58" s="966"/>
      <c r="ME58" s="966"/>
      <c r="MF58" s="966"/>
      <c r="MG58" s="966"/>
    </row>
    <row r="59" spans="2:345">
      <c r="B59" s="196">
        <f>INDEX(Groups!$C$7:$C$65,MATCH(C59,Groups!$D$7:$D$65,0))</f>
        <v>69</v>
      </c>
      <c r="C59" s="197" t="str">
        <f>CalcH!$P$26</f>
        <v>Kaapverdië</v>
      </c>
      <c r="D59" s="198">
        <f>INDEX(Groups!$C$7:$C$65,MATCH(E59,Groups!$D$7:$D$65,0))</f>
        <v>61</v>
      </c>
      <c r="E59" s="197" t="str">
        <f>CalcH!$Q$26</f>
        <v>Saoedi-Arabië</v>
      </c>
      <c r="F59" s="199" t="str">
        <f>CalcH!$R$26</f>
        <v/>
      </c>
      <c r="G59" s="200" t="str">
        <f>CalcH!$S$26</f>
        <v/>
      </c>
      <c r="I59" s="196">
        <f t="shared" si="18"/>
        <v>69</v>
      </c>
      <c r="J59" s="197" t="str">
        <f t="shared" si="31"/>
        <v>Kaapverdië</v>
      </c>
      <c r="K59" s="198">
        <f t="shared" si="1"/>
        <v>61</v>
      </c>
      <c r="L59" s="197" t="str">
        <f t="shared" si="32"/>
        <v>Saoedi-Arabië</v>
      </c>
      <c r="M59" s="232"/>
      <c r="N59" s="232"/>
      <c r="O59" s="228"/>
      <c r="P59" s="198" t="str">
        <f t="shared" si="33"/>
        <v/>
      </c>
      <c r="Q59" s="198" t="str">
        <f>IF((P59&lt;&gt;""),IF(OR($F59&lt;&gt;$G59,PrSettings!$M$4="●"),(($F59-$G59)=(M59-N59))*1,0),"")</f>
        <v/>
      </c>
      <c r="R59" s="198" t="str">
        <f t="shared" si="34"/>
        <v/>
      </c>
      <c r="S59" s="198" t="str">
        <f>IF(P59&lt;&gt;"",IF(ABS($F59-$G59)&gt;=PrSettings!$M$7,(ABS($F59-$G59-M59+N59)&lt;=1)*1,IF(AND(P59,$F59=$G59,$F59&gt;=PrSettings!$M$6),(ABS(M59-$F59)&lt;=1)*1,IF(AND(P59,$F59+$G59&gt;=PrSettings!$M$8),(ABS(M59-$F59)+ABS(N59-$G59)&lt;=1)*1,""))),"")</f>
        <v/>
      </c>
      <c r="T59" s="989"/>
      <c r="U59" s="965"/>
      <c r="V59" s="966"/>
      <c r="W59" s="973"/>
      <c r="X59" s="966"/>
      <c r="Y59" s="973"/>
      <c r="Z59" s="978"/>
      <c r="AA59" s="978"/>
      <c r="AB59" s="966"/>
      <c r="AC59" s="966"/>
      <c r="AD59" s="966"/>
      <c r="AE59" s="966"/>
      <c r="AF59" s="966"/>
      <c r="AG59" s="966"/>
      <c r="AH59" s="965"/>
      <c r="AI59" s="966"/>
      <c r="AJ59" s="973"/>
      <c r="AK59" s="966"/>
      <c r="AL59" s="973"/>
      <c r="AM59" s="978"/>
      <c r="AN59" s="978"/>
      <c r="AO59" s="966"/>
      <c r="AP59" s="966"/>
      <c r="AQ59" s="966"/>
      <c r="AR59" s="966"/>
      <c r="AS59" s="966"/>
      <c r="AT59" s="966"/>
      <c r="AU59" s="965"/>
      <c r="AV59" s="966"/>
      <c r="AW59" s="973"/>
      <c r="AX59" s="966"/>
      <c r="AY59" s="973"/>
      <c r="AZ59" s="978"/>
      <c r="BA59" s="978"/>
      <c r="BB59" s="966"/>
      <c r="BC59" s="966"/>
      <c r="BD59" s="966"/>
      <c r="BE59" s="966"/>
      <c r="BF59" s="966"/>
      <c r="BG59" s="966"/>
      <c r="BH59" s="965"/>
      <c r="BI59" s="966"/>
      <c r="BJ59" s="973"/>
      <c r="BK59" s="966"/>
      <c r="BL59" s="973"/>
      <c r="BM59" s="978"/>
      <c r="BN59" s="978"/>
      <c r="BO59" s="966"/>
      <c r="BP59" s="966"/>
      <c r="BQ59" s="966"/>
      <c r="BR59" s="966"/>
      <c r="BS59" s="966"/>
      <c r="BT59" s="966"/>
      <c r="BU59" s="965"/>
      <c r="BV59" s="966"/>
      <c r="BW59" s="973"/>
      <c r="BX59" s="966"/>
      <c r="BY59" s="973"/>
      <c r="BZ59" s="978"/>
      <c r="CA59" s="978"/>
      <c r="CB59" s="966"/>
      <c r="CC59" s="966"/>
      <c r="CD59" s="966"/>
      <c r="CE59" s="966"/>
      <c r="CF59" s="966"/>
      <c r="CG59" s="966"/>
      <c r="CH59" s="965"/>
      <c r="CI59" s="966"/>
      <c r="CJ59" s="973"/>
      <c r="CK59" s="966"/>
      <c r="CL59" s="973"/>
      <c r="CM59" s="978"/>
      <c r="CN59" s="978"/>
      <c r="CO59" s="966"/>
      <c r="CP59" s="966"/>
      <c r="CQ59" s="966"/>
      <c r="CR59" s="966"/>
      <c r="CS59" s="966"/>
      <c r="CT59" s="966"/>
      <c r="CU59" s="965"/>
      <c r="CV59" s="966"/>
      <c r="CW59" s="973"/>
      <c r="CX59" s="966"/>
      <c r="CY59" s="973"/>
      <c r="CZ59" s="978"/>
      <c r="DA59" s="978"/>
      <c r="DB59" s="966"/>
      <c r="DC59" s="966"/>
      <c r="DD59" s="966"/>
      <c r="DE59" s="966"/>
      <c r="DF59" s="966"/>
      <c r="DG59" s="966"/>
      <c r="DH59" s="965"/>
      <c r="DI59" s="966"/>
      <c r="DJ59" s="973"/>
      <c r="DK59" s="966"/>
      <c r="DL59" s="973"/>
      <c r="DM59" s="978"/>
      <c r="DN59" s="978"/>
      <c r="DO59" s="966"/>
      <c r="DP59" s="966"/>
      <c r="DQ59" s="966"/>
      <c r="DR59" s="966"/>
      <c r="DS59" s="966"/>
      <c r="DT59" s="966"/>
      <c r="DU59" s="965"/>
      <c r="DV59" s="966"/>
      <c r="DW59" s="973"/>
      <c r="DX59" s="966"/>
      <c r="DY59" s="973"/>
      <c r="DZ59" s="978"/>
      <c r="EA59" s="978"/>
      <c r="EB59" s="966"/>
      <c r="EC59" s="966"/>
      <c r="ED59" s="966"/>
      <c r="EE59" s="966"/>
      <c r="EF59" s="966"/>
      <c r="EG59" s="966"/>
      <c r="EH59" s="965"/>
      <c r="EI59" s="966"/>
      <c r="EJ59" s="973"/>
      <c r="EK59" s="966"/>
      <c r="EL59" s="973"/>
      <c r="EM59" s="978"/>
      <c r="EN59" s="978"/>
      <c r="EO59" s="966"/>
      <c r="EP59" s="966"/>
      <c r="EQ59" s="966"/>
      <c r="ER59" s="966"/>
      <c r="ES59" s="966"/>
      <c r="ET59" s="966"/>
      <c r="EU59" s="965"/>
      <c r="EV59" s="966"/>
      <c r="EW59" s="973"/>
      <c r="EX59" s="966"/>
      <c r="EY59" s="973"/>
      <c r="EZ59" s="978"/>
      <c r="FA59" s="978"/>
      <c r="FB59" s="966"/>
      <c r="FC59" s="966"/>
      <c r="FD59" s="966"/>
      <c r="FE59" s="966"/>
      <c r="FF59" s="966"/>
      <c r="FG59" s="966"/>
      <c r="FH59" s="965"/>
      <c r="FI59" s="966"/>
      <c r="FJ59" s="973"/>
      <c r="FK59" s="966"/>
      <c r="FL59" s="973"/>
      <c r="FM59" s="978"/>
      <c r="FN59" s="978"/>
      <c r="FO59" s="966"/>
      <c r="FP59" s="966"/>
      <c r="FQ59" s="966"/>
      <c r="FR59" s="966"/>
      <c r="FS59" s="966"/>
      <c r="FT59" s="966"/>
      <c r="FU59" s="965"/>
      <c r="FV59" s="966"/>
      <c r="FW59" s="973"/>
      <c r="FX59" s="966"/>
      <c r="FY59" s="973"/>
      <c r="FZ59" s="978"/>
      <c r="GA59" s="978"/>
      <c r="GB59" s="966"/>
      <c r="GC59" s="966"/>
      <c r="GD59" s="966"/>
      <c r="GE59" s="966"/>
      <c r="GF59" s="966"/>
      <c r="GG59" s="966"/>
      <c r="GH59" s="965"/>
      <c r="GI59" s="966"/>
      <c r="GJ59" s="973"/>
      <c r="GK59" s="966"/>
      <c r="GL59" s="973"/>
      <c r="GM59" s="978"/>
      <c r="GN59" s="978"/>
      <c r="GO59" s="966"/>
      <c r="GP59" s="966"/>
      <c r="GQ59" s="966"/>
      <c r="GR59" s="966"/>
      <c r="GS59" s="966"/>
      <c r="GT59" s="966"/>
      <c r="GU59" s="965"/>
      <c r="GV59" s="966"/>
      <c r="GW59" s="973"/>
      <c r="GX59" s="966"/>
      <c r="GY59" s="973"/>
      <c r="GZ59" s="978"/>
      <c r="HA59" s="978"/>
      <c r="HB59" s="966"/>
      <c r="HC59" s="966"/>
      <c r="HD59" s="966"/>
      <c r="HE59" s="966"/>
      <c r="HF59" s="966"/>
      <c r="HG59" s="966"/>
      <c r="HH59" s="965"/>
      <c r="HI59" s="966"/>
      <c r="HJ59" s="973"/>
      <c r="HK59" s="966"/>
      <c r="HL59" s="973"/>
      <c r="HM59" s="978"/>
      <c r="HN59" s="978"/>
      <c r="HO59" s="966"/>
      <c r="HP59" s="966"/>
      <c r="HQ59" s="966"/>
      <c r="HR59" s="966"/>
      <c r="HS59" s="966"/>
      <c r="HT59" s="966"/>
      <c r="HU59" s="965"/>
      <c r="HV59" s="966"/>
      <c r="HW59" s="973"/>
      <c r="HX59" s="966"/>
      <c r="HY59" s="973"/>
      <c r="HZ59" s="978"/>
      <c r="IA59" s="978"/>
      <c r="IB59" s="966"/>
      <c r="IC59" s="966"/>
      <c r="ID59" s="966"/>
      <c r="IE59" s="966"/>
      <c r="IF59" s="966"/>
      <c r="IG59" s="966"/>
      <c r="IH59" s="965"/>
      <c r="II59" s="966"/>
      <c r="IJ59" s="973"/>
      <c r="IK59" s="966"/>
      <c r="IL59" s="973"/>
      <c r="IM59" s="978"/>
      <c r="IN59" s="978"/>
      <c r="IO59" s="966"/>
      <c r="IP59" s="966"/>
      <c r="IQ59" s="966"/>
      <c r="IR59" s="966"/>
      <c r="IS59" s="966"/>
      <c r="IT59" s="966"/>
      <c r="IU59" s="965"/>
      <c r="IV59" s="966"/>
      <c r="IW59" s="973"/>
      <c r="IX59" s="966"/>
      <c r="IY59" s="973"/>
      <c r="IZ59" s="978"/>
      <c r="JA59" s="978"/>
      <c r="JB59" s="966"/>
      <c r="JC59" s="966"/>
      <c r="JD59" s="966"/>
      <c r="JE59" s="966"/>
      <c r="JF59" s="966"/>
      <c r="JG59" s="966"/>
      <c r="JH59" s="965"/>
      <c r="JI59" s="966"/>
      <c r="JJ59" s="973"/>
      <c r="JK59" s="966"/>
      <c r="JL59" s="973"/>
      <c r="JM59" s="978"/>
      <c r="JN59" s="978"/>
      <c r="JO59" s="966"/>
      <c r="JP59" s="966"/>
      <c r="JQ59" s="966"/>
      <c r="JR59" s="966"/>
      <c r="JS59" s="966"/>
      <c r="JT59" s="966"/>
      <c r="JU59" s="965"/>
      <c r="JV59" s="966"/>
      <c r="JW59" s="973"/>
      <c r="JX59" s="966"/>
      <c r="JY59" s="973"/>
      <c r="JZ59" s="978"/>
      <c r="KA59" s="978"/>
      <c r="KB59" s="966"/>
      <c r="KC59" s="966"/>
      <c r="KD59" s="966"/>
      <c r="KE59" s="966"/>
      <c r="KF59" s="966"/>
      <c r="KG59" s="966"/>
      <c r="KH59" s="965"/>
      <c r="KI59" s="966"/>
      <c r="KJ59" s="973"/>
      <c r="KK59" s="966"/>
      <c r="KL59" s="973"/>
      <c r="KM59" s="978"/>
      <c r="KN59" s="978"/>
      <c r="KO59" s="966"/>
      <c r="KP59" s="966"/>
      <c r="KQ59" s="966"/>
      <c r="KR59" s="966"/>
      <c r="KS59" s="966"/>
      <c r="KT59" s="966"/>
      <c r="KU59" s="965"/>
      <c r="KV59" s="966"/>
      <c r="KW59" s="973"/>
      <c r="KX59" s="966"/>
      <c r="KY59" s="973"/>
      <c r="KZ59" s="978"/>
      <c r="LA59" s="978"/>
      <c r="LB59" s="966"/>
      <c r="LC59" s="966"/>
      <c r="LD59" s="966"/>
      <c r="LE59" s="966"/>
      <c r="LF59" s="966"/>
      <c r="LG59" s="966"/>
      <c r="LH59" s="965"/>
      <c r="LI59" s="966"/>
      <c r="LJ59" s="973"/>
      <c r="LK59" s="966"/>
      <c r="LL59" s="973"/>
      <c r="LM59" s="978"/>
      <c r="LN59" s="978"/>
      <c r="LO59" s="966"/>
      <c r="LP59" s="966"/>
      <c r="LQ59" s="966"/>
      <c r="LR59" s="966"/>
      <c r="LS59" s="966"/>
      <c r="LT59" s="966"/>
      <c r="LU59" s="965"/>
      <c r="LV59" s="966"/>
      <c r="LW59" s="973"/>
      <c r="LX59" s="966"/>
      <c r="LY59" s="973"/>
      <c r="LZ59" s="978"/>
      <c r="MA59" s="978"/>
      <c r="MB59" s="966"/>
      <c r="MC59" s="966"/>
      <c r="MD59" s="966"/>
      <c r="ME59" s="966"/>
      <c r="MF59" s="966"/>
      <c r="MG59" s="966"/>
    </row>
    <row r="60" spans="2:345">
      <c r="B60" s="196">
        <f>INDEX(Groups!$C$7:$C$65,MATCH(C60,Groups!$D$7:$D$65,0))</f>
        <v>17</v>
      </c>
      <c r="C60" s="197" t="str">
        <f>CalcH!$P$27</f>
        <v>Uruguay</v>
      </c>
      <c r="D60" s="198">
        <f>INDEX(Groups!$C$7:$C$65,MATCH(E60,Groups!$D$7:$D$65,0))</f>
        <v>2</v>
      </c>
      <c r="E60" s="197" t="str">
        <f>CalcH!$Q$27</f>
        <v>Spanje</v>
      </c>
      <c r="F60" s="199" t="str">
        <f>CalcH!$R$27</f>
        <v/>
      </c>
      <c r="G60" s="200" t="str">
        <f>CalcH!$S$27</f>
        <v/>
      </c>
      <c r="I60" s="196">
        <f t="shared" si="18"/>
        <v>17</v>
      </c>
      <c r="J60" s="197" t="str">
        <f t="shared" si="31"/>
        <v>Uruguay</v>
      </c>
      <c r="K60" s="198">
        <f t="shared" si="1"/>
        <v>2</v>
      </c>
      <c r="L60" s="197" t="str">
        <f t="shared" si="32"/>
        <v>Spanje</v>
      </c>
      <c r="M60" s="232"/>
      <c r="N60" s="232"/>
      <c r="O60" s="473"/>
      <c r="P60" s="198" t="str">
        <f t="shared" si="33"/>
        <v/>
      </c>
      <c r="Q60" s="198" t="str">
        <f>IF((P60&lt;&gt;""),IF(OR($F60&lt;&gt;$G60,PrSettings!$M$4="●"),(($F60-$G60)=(M60-N60))*1,0),"")</f>
        <v/>
      </c>
      <c r="R60" s="198" t="str">
        <f t="shared" si="34"/>
        <v/>
      </c>
      <c r="S60" s="198" t="str">
        <f>IF(P60&lt;&gt;"",IF(ABS($F60-$G60)&gt;=PrSettings!$M$7,(ABS($F60-$G60-M60+N60)&lt;=1)*1,IF(AND(P60,$F60=$G60,$F60&gt;=PrSettings!$M$6),(ABS(M60-$F60)&lt;=1)*1,IF(AND(P60,$F60+$G60&gt;=PrSettings!$M$8),(ABS(M60-$F60)+ABS(N60-$G60)&lt;=1)*1,""))),"")</f>
        <v/>
      </c>
      <c r="T60" s="990"/>
      <c r="U60" s="965"/>
      <c r="V60" s="966"/>
      <c r="W60" s="973"/>
      <c r="X60" s="966"/>
      <c r="Y60" s="973"/>
      <c r="Z60" s="978"/>
      <c r="AA60" s="978"/>
      <c r="AB60" s="966"/>
      <c r="AC60" s="966"/>
      <c r="AD60" s="966"/>
      <c r="AE60" s="966"/>
      <c r="AF60" s="966"/>
      <c r="AG60" s="966"/>
      <c r="AH60" s="965"/>
      <c r="AI60" s="966"/>
      <c r="AJ60" s="973"/>
      <c r="AK60" s="966"/>
      <c r="AL60" s="973"/>
      <c r="AM60" s="978"/>
      <c r="AN60" s="978"/>
      <c r="AO60" s="966"/>
      <c r="AP60" s="966"/>
      <c r="AQ60" s="966"/>
      <c r="AR60" s="966"/>
      <c r="AS60" s="966"/>
      <c r="AT60" s="966"/>
      <c r="AU60" s="965"/>
      <c r="AV60" s="966"/>
      <c r="AW60" s="973"/>
      <c r="AX60" s="966"/>
      <c r="AY60" s="973"/>
      <c r="AZ60" s="978"/>
      <c r="BA60" s="978"/>
      <c r="BB60" s="966"/>
      <c r="BC60" s="966"/>
      <c r="BD60" s="966"/>
      <c r="BE60" s="966"/>
      <c r="BF60" s="966"/>
      <c r="BG60" s="966"/>
      <c r="BH60" s="965"/>
      <c r="BI60" s="966"/>
      <c r="BJ60" s="973"/>
      <c r="BK60" s="966"/>
      <c r="BL60" s="973"/>
      <c r="BM60" s="978"/>
      <c r="BN60" s="978"/>
      <c r="BO60" s="966"/>
      <c r="BP60" s="966"/>
      <c r="BQ60" s="966"/>
      <c r="BR60" s="966"/>
      <c r="BS60" s="966"/>
      <c r="BT60" s="966"/>
      <c r="BU60" s="965"/>
      <c r="BV60" s="966"/>
      <c r="BW60" s="973"/>
      <c r="BX60" s="966"/>
      <c r="BY60" s="973"/>
      <c r="BZ60" s="978"/>
      <c r="CA60" s="978"/>
      <c r="CB60" s="966"/>
      <c r="CC60" s="966"/>
      <c r="CD60" s="966"/>
      <c r="CE60" s="966"/>
      <c r="CF60" s="966"/>
      <c r="CG60" s="966"/>
      <c r="CH60" s="965"/>
      <c r="CI60" s="966"/>
      <c r="CJ60" s="973"/>
      <c r="CK60" s="966"/>
      <c r="CL60" s="973"/>
      <c r="CM60" s="978"/>
      <c r="CN60" s="978"/>
      <c r="CO60" s="966"/>
      <c r="CP60" s="966"/>
      <c r="CQ60" s="966"/>
      <c r="CR60" s="966"/>
      <c r="CS60" s="966"/>
      <c r="CT60" s="966"/>
      <c r="CU60" s="965"/>
      <c r="CV60" s="966"/>
      <c r="CW60" s="973"/>
      <c r="CX60" s="966"/>
      <c r="CY60" s="973"/>
      <c r="CZ60" s="978"/>
      <c r="DA60" s="978"/>
      <c r="DB60" s="966"/>
      <c r="DC60" s="966"/>
      <c r="DD60" s="966"/>
      <c r="DE60" s="966"/>
      <c r="DF60" s="966"/>
      <c r="DG60" s="966"/>
      <c r="DH60" s="965"/>
      <c r="DI60" s="966"/>
      <c r="DJ60" s="973"/>
      <c r="DK60" s="966"/>
      <c r="DL60" s="973"/>
      <c r="DM60" s="978"/>
      <c r="DN60" s="978"/>
      <c r="DO60" s="966"/>
      <c r="DP60" s="966"/>
      <c r="DQ60" s="966"/>
      <c r="DR60" s="966"/>
      <c r="DS60" s="966"/>
      <c r="DT60" s="966"/>
      <c r="DU60" s="965"/>
      <c r="DV60" s="966"/>
      <c r="DW60" s="973"/>
      <c r="DX60" s="966"/>
      <c r="DY60" s="973"/>
      <c r="DZ60" s="978"/>
      <c r="EA60" s="978"/>
      <c r="EB60" s="966"/>
      <c r="EC60" s="966"/>
      <c r="ED60" s="966"/>
      <c r="EE60" s="966"/>
      <c r="EF60" s="966"/>
      <c r="EG60" s="966"/>
      <c r="EH60" s="965"/>
      <c r="EI60" s="966"/>
      <c r="EJ60" s="973"/>
      <c r="EK60" s="966"/>
      <c r="EL60" s="973"/>
      <c r="EM60" s="978"/>
      <c r="EN60" s="978"/>
      <c r="EO60" s="966"/>
      <c r="EP60" s="966"/>
      <c r="EQ60" s="966"/>
      <c r="ER60" s="966"/>
      <c r="ES60" s="966"/>
      <c r="ET60" s="966"/>
      <c r="EU60" s="965"/>
      <c r="EV60" s="966"/>
      <c r="EW60" s="973"/>
      <c r="EX60" s="966"/>
      <c r="EY60" s="973"/>
      <c r="EZ60" s="978"/>
      <c r="FA60" s="978"/>
      <c r="FB60" s="966"/>
      <c r="FC60" s="966"/>
      <c r="FD60" s="966"/>
      <c r="FE60" s="966"/>
      <c r="FF60" s="966"/>
      <c r="FG60" s="966"/>
      <c r="FH60" s="965"/>
      <c r="FI60" s="966"/>
      <c r="FJ60" s="973"/>
      <c r="FK60" s="966"/>
      <c r="FL60" s="973"/>
      <c r="FM60" s="978"/>
      <c r="FN60" s="978"/>
      <c r="FO60" s="966"/>
      <c r="FP60" s="966"/>
      <c r="FQ60" s="966"/>
      <c r="FR60" s="966"/>
      <c r="FS60" s="966"/>
      <c r="FT60" s="966"/>
      <c r="FU60" s="965"/>
      <c r="FV60" s="966"/>
      <c r="FW60" s="973"/>
      <c r="FX60" s="966"/>
      <c r="FY60" s="973"/>
      <c r="FZ60" s="978"/>
      <c r="GA60" s="978"/>
      <c r="GB60" s="966"/>
      <c r="GC60" s="966"/>
      <c r="GD60" s="966"/>
      <c r="GE60" s="966"/>
      <c r="GF60" s="966"/>
      <c r="GG60" s="966"/>
      <c r="GH60" s="965"/>
      <c r="GI60" s="966"/>
      <c r="GJ60" s="973"/>
      <c r="GK60" s="966"/>
      <c r="GL60" s="973"/>
      <c r="GM60" s="978"/>
      <c r="GN60" s="978"/>
      <c r="GO60" s="966"/>
      <c r="GP60" s="966"/>
      <c r="GQ60" s="966"/>
      <c r="GR60" s="966"/>
      <c r="GS60" s="966"/>
      <c r="GT60" s="966"/>
      <c r="GU60" s="965"/>
      <c r="GV60" s="966"/>
      <c r="GW60" s="973"/>
      <c r="GX60" s="966"/>
      <c r="GY60" s="973"/>
      <c r="GZ60" s="978"/>
      <c r="HA60" s="978"/>
      <c r="HB60" s="966"/>
      <c r="HC60" s="966"/>
      <c r="HD60" s="966"/>
      <c r="HE60" s="966"/>
      <c r="HF60" s="966"/>
      <c r="HG60" s="966"/>
      <c r="HH60" s="965"/>
      <c r="HI60" s="966"/>
      <c r="HJ60" s="973"/>
      <c r="HK60" s="966"/>
      <c r="HL60" s="973"/>
      <c r="HM60" s="978"/>
      <c r="HN60" s="978"/>
      <c r="HO60" s="966"/>
      <c r="HP60" s="966"/>
      <c r="HQ60" s="966"/>
      <c r="HR60" s="966"/>
      <c r="HS60" s="966"/>
      <c r="HT60" s="966"/>
      <c r="HU60" s="965"/>
      <c r="HV60" s="966"/>
      <c r="HW60" s="973"/>
      <c r="HX60" s="966"/>
      <c r="HY60" s="973"/>
      <c r="HZ60" s="978"/>
      <c r="IA60" s="978"/>
      <c r="IB60" s="966"/>
      <c r="IC60" s="966"/>
      <c r="ID60" s="966"/>
      <c r="IE60" s="966"/>
      <c r="IF60" s="966"/>
      <c r="IG60" s="966"/>
      <c r="IH60" s="965"/>
      <c r="II60" s="966"/>
      <c r="IJ60" s="973"/>
      <c r="IK60" s="966"/>
      <c r="IL60" s="973"/>
      <c r="IM60" s="978"/>
      <c r="IN60" s="978"/>
      <c r="IO60" s="966"/>
      <c r="IP60" s="966"/>
      <c r="IQ60" s="966"/>
      <c r="IR60" s="966"/>
      <c r="IS60" s="966"/>
      <c r="IT60" s="966"/>
      <c r="IU60" s="965"/>
      <c r="IV60" s="966"/>
      <c r="IW60" s="973"/>
      <c r="IX60" s="966"/>
      <c r="IY60" s="973"/>
      <c r="IZ60" s="978"/>
      <c r="JA60" s="978"/>
      <c r="JB60" s="966"/>
      <c r="JC60" s="966"/>
      <c r="JD60" s="966"/>
      <c r="JE60" s="966"/>
      <c r="JF60" s="966"/>
      <c r="JG60" s="966"/>
      <c r="JH60" s="965"/>
      <c r="JI60" s="966"/>
      <c r="JJ60" s="973"/>
      <c r="JK60" s="966"/>
      <c r="JL60" s="973"/>
      <c r="JM60" s="978"/>
      <c r="JN60" s="978"/>
      <c r="JO60" s="966"/>
      <c r="JP60" s="966"/>
      <c r="JQ60" s="966"/>
      <c r="JR60" s="966"/>
      <c r="JS60" s="966"/>
      <c r="JT60" s="966"/>
      <c r="JU60" s="965"/>
      <c r="JV60" s="966"/>
      <c r="JW60" s="973"/>
      <c r="JX60" s="966"/>
      <c r="JY60" s="973"/>
      <c r="JZ60" s="978"/>
      <c r="KA60" s="978"/>
      <c r="KB60" s="966"/>
      <c r="KC60" s="966"/>
      <c r="KD60" s="966"/>
      <c r="KE60" s="966"/>
      <c r="KF60" s="966"/>
      <c r="KG60" s="966"/>
      <c r="KH60" s="965"/>
      <c r="KI60" s="966"/>
      <c r="KJ60" s="973"/>
      <c r="KK60" s="966"/>
      <c r="KL60" s="973"/>
      <c r="KM60" s="978"/>
      <c r="KN60" s="978"/>
      <c r="KO60" s="966"/>
      <c r="KP60" s="966"/>
      <c r="KQ60" s="966"/>
      <c r="KR60" s="966"/>
      <c r="KS60" s="966"/>
      <c r="KT60" s="966"/>
      <c r="KU60" s="965"/>
      <c r="KV60" s="966"/>
      <c r="KW60" s="973"/>
      <c r="KX60" s="966"/>
      <c r="KY60" s="973"/>
      <c r="KZ60" s="978"/>
      <c r="LA60" s="978"/>
      <c r="LB60" s="966"/>
      <c r="LC60" s="966"/>
      <c r="LD60" s="966"/>
      <c r="LE60" s="966"/>
      <c r="LF60" s="966"/>
      <c r="LG60" s="966"/>
      <c r="LH60" s="965"/>
      <c r="LI60" s="966"/>
      <c r="LJ60" s="973"/>
      <c r="LK60" s="966"/>
      <c r="LL60" s="973"/>
      <c r="LM60" s="978"/>
      <c r="LN60" s="978"/>
      <c r="LO60" s="966"/>
      <c r="LP60" s="966"/>
      <c r="LQ60" s="966"/>
      <c r="LR60" s="966"/>
      <c r="LS60" s="966"/>
      <c r="LT60" s="966"/>
      <c r="LU60" s="965"/>
      <c r="LV60" s="966"/>
      <c r="LW60" s="973"/>
      <c r="LX60" s="966"/>
      <c r="LY60" s="973"/>
      <c r="LZ60" s="978"/>
      <c r="MA60" s="978"/>
      <c r="MB60" s="966"/>
      <c r="MC60" s="966"/>
      <c r="MD60" s="966"/>
      <c r="ME60" s="966"/>
      <c r="MF60" s="966"/>
      <c r="MG60" s="966"/>
    </row>
    <row r="61" spans="2:345" ht="24" customHeight="1">
      <c r="B61" s="205" t="str">
        <f>Language!$E$130&amp;" I"</f>
        <v>Groep I</v>
      </c>
      <c r="C61" s="206"/>
      <c r="D61" s="211"/>
      <c r="E61" s="208"/>
      <c r="F61" s="212"/>
      <c r="G61" s="213"/>
      <c r="I61" s="205" t="str">
        <f t="shared" si="18"/>
        <v>Groep I</v>
      </c>
      <c r="J61" s="207"/>
      <c r="K61" s="211"/>
      <c r="L61" s="208"/>
      <c r="M61" s="236"/>
      <c r="N61" s="237"/>
      <c r="O61" s="209"/>
      <c r="P61" s="220"/>
      <c r="Q61" s="220"/>
      <c r="R61" s="208"/>
      <c r="S61" s="208"/>
      <c r="T61" s="987"/>
      <c r="U61" s="965"/>
      <c r="V61" s="972"/>
      <c r="W61" s="972"/>
      <c r="X61" s="966"/>
      <c r="Y61" s="973"/>
      <c r="Z61" s="974"/>
      <c r="AA61" s="975"/>
      <c r="AB61" s="976"/>
      <c r="AC61" s="977"/>
      <c r="AD61" s="977"/>
      <c r="AE61" s="973"/>
      <c r="AF61" s="973"/>
      <c r="AG61" s="973"/>
      <c r="AH61" s="965"/>
      <c r="AI61" s="972"/>
      <c r="AJ61" s="972"/>
      <c r="AK61" s="966"/>
      <c r="AL61" s="973"/>
      <c r="AM61" s="974"/>
      <c r="AN61" s="975"/>
      <c r="AO61" s="976"/>
      <c r="AP61" s="977"/>
      <c r="AQ61" s="977"/>
      <c r="AR61" s="973"/>
      <c r="AS61" s="973"/>
      <c r="AT61" s="973"/>
      <c r="AU61" s="965"/>
      <c r="AV61" s="972"/>
      <c r="AW61" s="972"/>
      <c r="AX61" s="966"/>
      <c r="AY61" s="973"/>
      <c r="AZ61" s="974"/>
      <c r="BA61" s="975"/>
      <c r="BB61" s="976"/>
      <c r="BC61" s="977"/>
      <c r="BD61" s="977"/>
      <c r="BE61" s="973"/>
      <c r="BF61" s="973"/>
      <c r="BG61" s="973"/>
      <c r="BH61" s="965"/>
      <c r="BI61" s="972"/>
      <c r="BJ61" s="972"/>
      <c r="BK61" s="966"/>
      <c r="BL61" s="973"/>
      <c r="BM61" s="974"/>
      <c r="BN61" s="975"/>
      <c r="BO61" s="976"/>
      <c r="BP61" s="977"/>
      <c r="BQ61" s="977"/>
      <c r="BR61" s="973"/>
      <c r="BS61" s="973"/>
      <c r="BT61" s="973"/>
      <c r="BU61" s="965"/>
      <c r="BV61" s="972"/>
      <c r="BW61" s="972"/>
      <c r="BX61" s="966"/>
      <c r="BY61" s="973"/>
      <c r="BZ61" s="974"/>
      <c r="CA61" s="975"/>
      <c r="CB61" s="976"/>
      <c r="CC61" s="977"/>
      <c r="CD61" s="977"/>
      <c r="CE61" s="973"/>
      <c r="CF61" s="973"/>
      <c r="CG61" s="973"/>
      <c r="CH61" s="965"/>
      <c r="CI61" s="972"/>
      <c r="CJ61" s="972"/>
      <c r="CK61" s="966"/>
      <c r="CL61" s="973"/>
      <c r="CM61" s="974"/>
      <c r="CN61" s="975"/>
      <c r="CO61" s="976"/>
      <c r="CP61" s="977"/>
      <c r="CQ61" s="977"/>
      <c r="CR61" s="973"/>
      <c r="CS61" s="973"/>
      <c r="CT61" s="973"/>
      <c r="CU61" s="965"/>
      <c r="CV61" s="972"/>
      <c r="CW61" s="972"/>
      <c r="CX61" s="966"/>
      <c r="CY61" s="973"/>
      <c r="CZ61" s="974"/>
      <c r="DA61" s="975"/>
      <c r="DB61" s="976"/>
      <c r="DC61" s="977"/>
      <c r="DD61" s="977"/>
      <c r="DE61" s="973"/>
      <c r="DF61" s="973"/>
      <c r="DG61" s="973"/>
      <c r="DH61" s="965"/>
      <c r="DI61" s="972"/>
      <c r="DJ61" s="972"/>
      <c r="DK61" s="966"/>
      <c r="DL61" s="973"/>
      <c r="DM61" s="974"/>
      <c r="DN61" s="975"/>
      <c r="DO61" s="976"/>
      <c r="DP61" s="977"/>
      <c r="DQ61" s="977"/>
      <c r="DR61" s="973"/>
      <c r="DS61" s="973"/>
      <c r="DT61" s="973"/>
      <c r="DU61" s="965"/>
      <c r="DV61" s="972"/>
      <c r="DW61" s="972"/>
      <c r="DX61" s="966"/>
      <c r="DY61" s="973"/>
      <c r="DZ61" s="974"/>
      <c r="EA61" s="975"/>
      <c r="EB61" s="976"/>
      <c r="EC61" s="977"/>
      <c r="ED61" s="977"/>
      <c r="EE61" s="973"/>
      <c r="EF61" s="973"/>
      <c r="EG61" s="973"/>
      <c r="EH61" s="965"/>
      <c r="EI61" s="972"/>
      <c r="EJ61" s="972"/>
      <c r="EK61" s="966"/>
      <c r="EL61" s="973"/>
      <c r="EM61" s="974"/>
      <c r="EN61" s="975"/>
      <c r="EO61" s="976"/>
      <c r="EP61" s="977"/>
      <c r="EQ61" s="977"/>
      <c r="ER61" s="973"/>
      <c r="ES61" s="973"/>
      <c r="ET61" s="973"/>
      <c r="EU61" s="965"/>
      <c r="EV61" s="972"/>
      <c r="EW61" s="972"/>
      <c r="EX61" s="966"/>
      <c r="EY61" s="973"/>
      <c r="EZ61" s="974"/>
      <c r="FA61" s="975"/>
      <c r="FB61" s="976"/>
      <c r="FC61" s="977"/>
      <c r="FD61" s="977"/>
      <c r="FE61" s="973"/>
      <c r="FF61" s="973"/>
      <c r="FG61" s="973"/>
      <c r="FH61" s="965"/>
      <c r="FI61" s="972"/>
      <c r="FJ61" s="972"/>
      <c r="FK61" s="966"/>
      <c r="FL61" s="973"/>
      <c r="FM61" s="974"/>
      <c r="FN61" s="975"/>
      <c r="FO61" s="976"/>
      <c r="FP61" s="977"/>
      <c r="FQ61" s="977"/>
      <c r="FR61" s="973"/>
      <c r="FS61" s="973"/>
      <c r="FT61" s="973"/>
      <c r="FU61" s="965"/>
      <c r="FV61" s="972"/>
      <c r="FW61" s="972"/>
      <c r="FX61" s="966"/>
      <c r="FY61" s="973"/>
      <c r="FZ61" s="974"/>
      <c r="GA61" s="975"/>
      <c r="GB61" s="976"/>
      <c r="GC61" s="977"/>
      <c r="GD61" s="977"/>
      <c r="GE61" s="973"/>
      <c r="GF61" s="973"/>
      <c r="GG61" s="973"/>
      <c r="GH61" s="965"/>
      <c r="GI61" s="972"/>
      <c r="GJ61" s="972"/>
      <c r="GK61" s="966"/>
      <c r="GL61" s="973"/>
      <c r="GM61" s="974"/>
      <c r="GN61" s="975"/>
      <c r="GO61" s="976"/>
      <c r="GP61" s="977"/>
      <c r="GQ61" s="977"/>
      <c r="GR61" s="973"/>
      <c r="GS61" s="973"/>
      <c r="GT61" s="973"/>
      <c r="GU61" s="965"/>
      <c r="GV61" s="972"/>
      <c r="GW61" s="972"/>
      <c r="GX61" s="966"/>
      <c r="GY61" s="973"/>
      <c r="GZ61" s="974"/>
      <c r="HA61" s="975"/>
      <c r="HB61" s="976"/>
      <c r="HC61" s="977"/>
      <c r="HD61" s="977"/>
      <c r="HE61" s="973"/>
      <c r="HF61" s="973"/>
      <c r="HG61" s="973"/>
      <c r="HH61" s="965"/>
      <c r="HI61" s="972"/>
      <c r="HJ61" s="972"/>
      <c r="HK61" s="966"/>
      <c r="HL61" s="973"/>
      <c r="HM61" s="974"/>
      <c r="HN61" s="975"/>
      <c r="HO61" s="976"/>
      <c r="HP61" s="977"/>
      <c r="HQ61" s="977"/>
      <c r="HR61" s="973"/>
      <c r="HS61" s="973"/>
      <c r="HT61" s="973"/>
      <c r="HU61" s="965"/>
      <c r="HV61" s="972"/>
      <c r="HW61" s="972"/>
      <c r="HX61" s="966"/>
      <c r="HY61" s="973"/>
      <c r="HZ61" s="974"/>
      <c r="IA61" s="975"/>
      <c r="IB61" s="976"/>
      <c r="IC61" s="977"/>
      <c r="ID61" s="977"/>
      <c r="IE61" s="973"/>
      <c r="IF61" s="973"/>
      <c r="IG61" s="973"/>
      <c r="IH61" s="965"/>
      <c r="II61" s="972"/>
      <c r="IJ61" s="972"/>
      <c r="IK61" s="966"/>
      <c r="IL61" s="973"/>
      <c r="IM61" s="974"/>
      <c r="IN61" s="975"/>
      <c r="IO61" s="976"/>
      <c r="IP61" s="977"/>
      <c r="IQ61" s="977"/>
      <c r="IR61" s="973"/>
      <c r="IS61" s="973"/>
      <c r="IT61" s="973"/>
      <c r="IU61" s="965"/>
      <c r="IV61" s="972"/>
      <c r="IW61" s="972"/>
      <c r="IX61" s="966"/>
      <c r="IY61" s="973"/>
      <c r="IZ61" s="974"/>
      <c r="JA61" s="975"/>
      <c r="JB61" s="976"/>
      <c r="JC61" s="977"/>
      <c r="JD61" s="977"/>
      <c r="JE61" s="973"/>
      <c r="JF61" s="973"/>
      <c r="JG61" s="973"/>
      <c r="JH61" s="965"/>
      <c r="JI61" s="972"/>
      <c r="JJ61" s="972"/>
      <c r="JK61" s="966"/>
      <c r="JL61" s="973"/>
      <c r="JM61" s="974"/>
      <c r="JN61" s="975"/>
      <c r="JO61" s="976"/>
      <c r="JP61" s="977"/>
      <c r="JQ61" s="977"/>
      <c r="JR61" s="973"/>
      <c r="JS61" s="973"/>
      <c r="JT61" s="973"/>
      <c r="JU61" s="965"/>
      <c r="JV61" s="972"/>
      <c r="JW61" s="972"/>
      <c r="JX61" s="966"/>
      <c r="JY61" s="973"/>
      <c r="JZ61" s="974"/>
      <c r="KA61" s="975"/>
      <c r="KB61" s="976"/>
      <c r="KC61" s="977"/>
      <c r="KD61" s="977"/>
      <c r="KE61" s="973"/>
      <c r="KF61" s="973"/>
      <c r="KG61" s="973"/>
      <c r="KH61" s="965"/>
      <c r="KI61" s="972"/>
      <c r="KJ61" s="972"/>
      <c r="KK61" s="966"/>
      <c r="KL61" s="973"/>
      <c r="KM61" s="974"/>
      <c r="KN61" s="975"/>
      <c r="KO61" s="976"/>
      <c r="KP61" s="977"/>
      <c r="KQ61" s="977"/>
      <c r="KR61" s="973"/>
      <c r="KS61" s="973"/>
      <c r="KT61" s="973"/>
      <c r="KU61" s="965"/>
      <c r="KV61" s="972"/>
      <c r="KW61" s="972"/>
      <c r="KX61" s="966"/>
      <c r="KY61" s="973"/>
      <c r="KZ61" s="974"/>
      <c r="LA61" s="975"/>
      <c r="LB61" s="976"/>
      <c r="LC61" s="977"/>
      <c r="LD61" s="977"/>
      <c r="LE61" s="973"/>
      <c r="LF61" s="973"/>
      <c r="LG61" s="973"/>
      <c r="LH61" s="965"/>
      <c r="LI61" s="972"/>
      <c r="LJ61" s="972"/>
      <c r="LK61" s="966"/>
      <c r="LL61" s="973"/>
      <c r="LM61" s="974"/>
      <c r="LN61" s="975"/>
      <c r="LO61" s="976"/>
      <c r="LP61" s="977"/>
      <c r="LQ61" s="977"/>
      <c r="LR61" s="973"/>
      <c r="LS61" s="973"/>
      <c r="LT61" s="973"/>
      <c r="LU61" s="965"/>
      <c r="LV61" s="972"/>
      <c r="LW61" s="972"/>
      <c r="LX61" s="966"/>
      <c r="LY61" s="973"/>
      <c r="LZ61" s="974"/>
      <c r="MA61" s="975"/>
      <c r="MB61" s="976"/>
      <c r="MC61" s="977"/>
      <c r="MD61" s="977"/>
      <c r="ME61" s="973"/>
      <c r="MF61" s="973"/>
      <c r="MG61" s="973"/>
    </row>
    <row r="62" spans="2:345">
      <c r="B62" s="196">
        <f>INDEX(Groups!$C$7:$C$65,MATCH(C62,Groups!$D$7:$D$65,0))</f>
        <v>1</v>
      </c>
      <c r="C62" s="197" t="str">
        <f>CalcI!$P$22</f>
        <v>Frankrijk</v>
      </c>
      <c r="D62" s="198">
        <f>INDEX(Groups!$C$7:$C$65,MATCH(E62,Groups!$D$7:$D$65,0))</f>
        <v>14</v>
      </c>
      <c r="E62" s="197" t="str">
        <f>CalcI!$Q$22</f>
        <v>Senegal</v>
      </c>
      <c r="F62" s="199" t="str">
        <f>CalcI!$R$22</f>
        <v/>
      </c>
      <c r="G62" s="200" t="str">
        <f>CalcI!$S$22</f>
        <v/>
      </c>
      <c r="I62" s="196">
        <f t="shared" si="18"/>
        <v>1</v>
      </c>
      <c r="J62" s="197" t="str">
        <f t="shared" ref="J62:J67" si="35">$C62</f>
        <v>Frankrijk</v>
      </c>
      <c r="K62" s="198">
        <f t="shared" si="1"/>
        <v>14</v>
      </c>
      <c r="L62" s="197" t="str">
        <f t="shared" ref="L62:L67" si="36">$E62</f>
        <v>Senegal</v>
      </c>
      <c r="M62" s="232"/>
      <c r="N62" s="232"/>
      <c r="O62" s="227"/>
      <c r="P62" s="198" t="str">
        <f t="shared" ref="P62:P67" si="37">IF(($F62&lt;&gt;"")*($G62&lt;&gt;"")*(M62&lt;&gt;"")*(N62&lt;&gt;""),($F62&gt;$G62)*(M62&gt;N62)+($F62=$G62)*(M62=N62)+($F62&lt;$G62)*(M62&lt;N62),"")</f>
        <v/>
      </c>
      <c r="Q62" s="198" t="str">
        <f>IF((P62&lt;&gt;""),IF(OR($F62&lt;&gt;$G62,PrSettings!$M$4="●"),(($F62-$G62)=(M62-N62))*1,0),"")</f>
        <v/>
      </c>
      <c r="R62" s="198" t="str">
        <f t="shared" ref="R62:R67" si="38">IF((P62&lt;&gt;""),($F62=M62)*($G62=N62),"")</f>
        <v/>
      </c>
      <c r="S62" s="198" t="str">
        <f>IF(P62&lt;&gt;"",IF(ABS($F62-$G62)&gt;=PrSettings!$M$7,(ABS($F62-$G62-M62+N62)&lt;=1)*1,IF(AND(P62,$F62=$G62,$F62&gt;=PrSettings!$M$6),(ABS(M62-$F62)&lt;=1)*1,IF(AND(P62,$F62+$G62&gt;=PrSettings!$M$8),(ABS(M62-$F62)+ABS(N62-$G62)&lt;=1)*1,""))),"")</f>
        <v/>
      </c>
      <c r="T62" s="988"/>
      <c r="U62" s="965"/>
      <c r="V62" s="966"/>
      <c r="W62" s="973"/>
      <c r="X62" s="966"/>
      <c r="Y62" s="973"/>
      <c r="Z62" s="978"/>
      <c r="AA62" s="978"/>
      <c r="AB62" s="966"/>
      <c r="AC62" s="966"/>
      <c r="AD62" s="966"/>
      <c r="AE62" s="966"/>
      <c r="AF62" s="966"/>
      <c r="AG62" s="966"/>
      <c r="AH62" s="965"/>
      <c r="AI62" s="966"/>
      <c r="AJ62" s="973"/>
      <c r="AK62" s="966"/>
      <c r="AL62" s="973"/>
      <c r="AM62" s="978"/>
      <c r="AN62" s="978"/>
      <c r="AO62" s="966"/>
      <c r="AP62" s="966"/>
      <c r="AQ62" s="966"/>
      <c r="AR62" s="966"/>
      <c r="AS62" s="966"/>
      <c r="AT62" s="966"/>
      <c r="AU62" s="965"/>
      <c r="AV62" s="966"/>
      <c r="AW62" s="973"/>
      <c r="AX62" s="966"/>
      <c r="AY62" s="973"/>
      <c r="AZ62" s="978"/>
      <c r="BA62" s="978"/>
      <c r="BB62" s="966"/>
      <c r="BC62" s="966"/>
      <c r="BD62" s="966"/>
      <c r="BE62" s="966"/>
      <c r="BF62" s="966"/>
      <c r="BG62" s="966"/>
      <c r="BH62" s="965"/>
      <c r="BI62" s="966"/>
      <c r="BJ62" s="973"/>
      <c r="BK62" s="966"/>
      <c r="BL62" s="973"/>
      <c r="BM62" s="978"/>
      <c r="BN62" s="978"/>
      <c r="BO62" s="966"/>
      <c r="BP62" s="966"/>
      <c r="BQ62" s="966"/>
      <c r="BR62" s="966"/>
      <c r="BS62" s="966"/>
      <c r="BT62" s="966"/>
      <c r="BU62" s="965"/>
      <c r="BV62" s="966"/>
      <c r="BW62" s="973"/>
      <c r="BX62" s="966"/>
      <c r="BY62" s="973"/>
      <c r="BZ62" s="978"/>
      <c r="CA62" s="978"/>
      <c r="CB62" s="966"/>
      <c r="CC62" s="966"/>
      <c r="CD62" s="966"/>
      <c r="CE62" s="966"/>
      <c r="CF62" s="966"/>
      <c r="CG62" s="966"/>
      <c r="CH62" s="965"/>
      <c r="CI62" s="966"/>
      <c r="CJ62" s="973"/>
      <c r="CK62" s="966"/>
      <c r="CL62" s="973"/>
      <c r="CM62" s="978"/>
      <c r="CN62" s="978"/>
      <c r="CO62" s="966"/>
      <c r="CP62" s="966"/>
      <c r="CQ62" s="966"/>
      <c r="CR62" s="966"/>
      <c r="CS62" s="966"/>
      <c r="CT62" s="966"/>
      <c r="CU62" s="965"/>
      <c r="CV62" s="966"/>
      <c r="CW62" s="973"/>
      <c r="CX62" s="966"/>
      <c r="CY62" s="973"/>
      <c r="CZ62" s="978"/>
      <c r="DA62" s="978"/>
      <c r="DB62" s="966"/>
      <c r="DC62" s="966"/>
      <c r="DD62" s="966"/>
      <c r="DE62" s="966"/>
      <c r="DF62" s="966"/>
      <c r="DG62" s="966"/>
      <c r="DH62" s="965"/>
      <c r="DI62" s="966"/>
      <c r="DJ62" s="973"/>
      <c r="DK62" s="966"/>
      <c r="DL62" s="973"/>
      <c r="DM62" s="978"/>
      <c r="DN62" s="978"/>
      <c r="DO62" s="966"/>
      <c r="DP62" s="966"/>
      <c r="DQ62" s="966"/>
      <c r="DR62" s="966"/>
      <c r="DS62" s="966"/>
      <c r="DT62" s="966"/>
      <c r="DU62" s="965"/>
      <c r="DV62" s="966"/>
      <c r="DW62" s="973"/>
      <c r="DX62" s="966"/>
      <c r="DY62" s="973"/>
      <c r="DZ62" s="978"/>
      <c r="EA62" s="978"/>
      <c r="EB62" s="966"/>
      <c r="EC62" s="966"/>
      <c r="ED62" s="966"/>
      <c r="EE62" s="966"/>
      <c r="EF62" s="966"/>
      <c r="EG62" s="966"/>
      <c r="EH62" s="965"/>
      <c r="EI62" s="966"/>
      <c r="EJ62" s="973"/>
      <c r="EK62" s="966"/>
      <c r="EL62" s="973"/>
      <c r="EM62" s="978"/>
      <c r="EN62" s="978"/>
      <c r="EO62" s="966"/>
      <c r="EP62" s="966"/>
      <c r="EQ62" s="966"/>
      <c r="ER62" s="966"/>
      <c r="ES62" s="966"/>
      <c r="ET62" s="966"/>
      <c r="EU62" s="965"/>
      <c r="EV62" s="966"/>
      <c r="EW62" s="973"/>
      <c r="EX62" s="966"/>
      <c r="EY62" s="973"/>
      <c r="EZ62" s="978"/>
      <c r="FA62" s="978"/>
      <c r="FB62" s="966"/>
      <c r="FC62" s="966"/>
      <c r="FD62" s="966"/>
      <c r="FE62" s="966"/>
      <c r="FF62" s="966"/>
      <c r="FG62" s="966"/>
      <c r="FH62" s="965"/>
      <c r="FI62" s="966"/>
      <c r="FJ62" s="973"/>
      <c r="FK62" s="966"/>
      <c r="FL62" s="973"/>
      <c r="FM62" s="978"/>
      <c r="FN62" s="978"/>
      <c r="FO62" s="966"/>
      <c r="FP62" s="966"/>
      <c r="FQ62" s="966"/>
      <c r="FR62" s="966"/>
      <c r="FS62" s="966"/>
      <c r="FT62" s="966"/>
      <c r="FU62" s="965"/>
      <c r="FV62" s="966"/>
      <c r="FW62" s="973"/>
      <c r="FX62" s="966"/>
      <c r="FY62" s="973"/>
      <c r="FZ62" s="978"/>
      <c r="GA62" s="978"/>
      <c r="GB62" s="966"/>
      <c r="GC62" s="966"/>
      <c r="GD62" s="966"/>
      <c r="GE62" s="966"/>
      <c r="GF62" s="966"/>
      <c r="GG62" s="966"/>
      <c r="GH62" s="965"/>
      <c r="GI62" s="966"/>
      <c r="GJ62" s="973"/>
      <c r="GK62" s="966"/>
      <c r="GL62" s="973"/>
      <c r="GM62" s="978"/>
      <c r="GN62" s="978"/>
      <c r="GO62" s="966"/>
      <c r="GP62" s="966"/>
      <c r="GQ62" s="966"/>
      <c r="GR62" s="966"/>
      <c r="GS62" s="966"/>
      <c r="GT62" s="966"/>
      <c r="GU62" s="965"/>
      <c r="GV62" s="966"/>
      <c r="GW62" s="973"/>
      <c r="GX62" s="966"/>
      <c r="GY62" s="973"/>
      <c r="GZ62" s="978"/>
      <c r="HA62" s="978"/>
      <c r="HB62" s="966"/>
      <c r="HC62" s="966"/>
      <c r="HD62" s="966"/>
      <c r="HE62" s="966"/>
      <c r="HF62" s="966"/>
      <c r="HG62" s="966"/>
      <c r="HH62" s="965"/>
      <c r="HI62" s="966"/>
      <c r="HJ62" s="973"/>
      <c r="HK62" s="966"/>
      <c r="HL62" s="973"/>
      <c r="HM62" s="978"/>
      <c r="HN62" s="978"/>
      <c r="HO62" s="966"/>
      <c r="HP62" s="966"/>
      <c r="HQ62" s="966"/>
      <c r="HR62" s="966"/>
      <c r="HS62" s="966"/>
      <c r="HT62" s="966"/>
      <c r="HU62" s="965"/>
      <c r="HV62" s="966"/>
      <c r="HW62" s="973"/>
      <c r="HX62" s="966"/>
      <c r="HY62" s="973"/>
      <c r="HZ62" s="978"/>
      <c r="IA62" s="978"/>
      <c r="IB62" s="966"/>
      <c r="IC62" s="966"/>
      <c r="ID62" s="966"/>
      <c r="IE62" s="966"/>
      <c r="IF62" s="966"/>
      <c r="IG62" s="966"/>
      <c r="IH62" s="965"/>
      <c r="II62" s="966"/>
      <c r="IJ62" s="973"/>
      <c r="IK62" s="966"/>
      <c r="IL62" s="973"/>
      <c r="IM62" s="978"/>
      <c r="IN62" s="978"/>
      <c r="IO62" s="966"/>
      <c r="IP62" s="966"/>
      <c r="IQ62" s="966"/>
      <c r="IR62" s="966"/>
      <c r="IS62" s="966"/>
      <c r="IT62" s="966"/>
      <c r="IU62" s="965"/>
      <c r="IV62" s="966"/>
      <c r="IW62" s="973"/>
      <c r="IX62" s="966"/>
      <c r="IY62" s="973"/>
      <c r="IZ62" s="978"/>
      <c r="JA62" s="978"/>
      <c r="JB62" s="966"/>
      <c r="JC62" s="966"/>
      <c r="JD62" s="966"/>
      <c r="JE62" s="966"/>
      <c r="JF62" s="966"/>
      <c r="JG62" s="966"/>
      <c r="JH62" s="965"/>
      <c r="JI62" s="966"/>
      <c r="JJ62" s="973"/>
      <c r="JK62" s="966"/>
      <c r="JL62" s="973"/>
      <c r="JM62" s="978"/>
      <c r="JN62" s="978"/>
      <c r="JO62" s="966"/>
      <c r="JP62" s="966"/>
      <c r="JQ62" s="966"/>
      <c r="JR62" s="966"/>
      <c r="JS62" s="966"/>
      <c r="JT62" s="966"/>
      <c r="JU62" s="965"/>
      <c r="JV62" s="966"/>
      <c r="JW62" s="973"/>
      <c r="JX62" s="966"/>
      <c r="JY62" s="973"/>
      <c r="JZ62" s="978"/>
      <c r="KA62" s="978"/>
      <c r="KB62" s="966"/>
      <c r="KC62" s="966"/>
      <c r="KD62" s="966"/>
      <c r="KE62" s="966"/>
      <c r="KF62" s="966"/>
      <c r="KG62" s="966"/>
      <c r="KH62" s="965"/>
      <c r="KI62" s="966"/>
      <c r="KJ62" s="973"/>
      <c r="KK62" s="966"/>
      <c r="KL62" s="973"/>
      <c r="KM62" s="978"/>
      <c r="KN62" s="978"/>
      <c r="KO62" s="966"/>
      <c r="KP62" s="966"/>
      <c r="KQ62" s="966"/>
      <c r="KR62" s="966"/>
      <c r="KS62" s="966"/>
      <c r="KT62" s="966"/>
      <c r="KU62" s="965"/>
      <c r="KV62" s="966"/>
      <c r="KW62" s="973"/>
      <c r="KX62" s="966"/>
      <c r="KY62" s="973"/>
      <c r="KZ62" s="978"/>
      <c r="LA62" s="978"/>
      <c r="LB62" s="966"/>
      <c r="LC62" s="966"/>
      <c r="LD62" s="966"/>
      <c r="LE62" s="966"/>
      <c r="LF62" s="966"/>
      <c r="LG62" s="966"/>
      <c r="LH62" s="965"/>
      <c r="LI62" s="966"/>
      <c r="LJ62" s="973"/>
      <c r="LK62" s="966"/>
      <c r="LL62" s="973"/>
      <c r="LM62" s="978"/>
      <c r="LN62" s="978"/>
      <c r="LO62" s="966"/>
      <c r="LP62" s="966"/>
      <c r="LQ62" s="966"/>
      <c r="LR62" s="966"/>
      <c r="LS62" s="966"/>
      <c r="LT62" s="966"/>
      <c r="LU62" s="965"/>
      <c r="LV62" s="966"/>
      <c r="LW62" s="973"/>
      <c r="LX62" s="966"/>
      <c r="LY62" s="973"/>
      <c r="LZ62" s="978"/>
      <c r="MA62" s="978"/>
      <c r="MB62" s="966"/>
      <c r="MC62" s="966"/>
      <c r="MD62" s="966"/>
      <c r="ME62" s="966"/>
      <c r="MF62" s="966"/>
      <c r="MG62" s="966"/>
    </row>
    <row r="63" spans="2:345">
      <c r="B63" s="196">
        <f>INDEX(Groups!$C$7:$C$65,MATCH(C63,Groups!$D$7:$D$65,0))</f>
        <v>57</v>
      </c>
      <c r="C63" s="197" t="str">
        <f>CalcI!$P$23</f>
        <v>Irak</v>
      </c>
      <c r="D63" s="198">
        <f>INDEX(Groups!$C$7:$C$65,MATCH(E63,Groups!$D$7:$D$65,0))</f>
        <v>31</v>
      </c>
      <c r="E63" s="197" t="str">
        <f>CalcI!$Q$23</f>
        <v>Noorwegen</v>
      </c>
      <c r="F63" s="725" t="str">
        <f>CalcI!$R$23</f>
        <v/>
      </c>
      <c r="G63" s="200" t="str">
        <f>CalcI!$S$23</f>
        <v/>
      </c>
      <c r="I63" s="196">
        <f t="shared" si="18"/>
        <v>57</v>
      </c>
      <c r="J63" s="197" t="str">
        <f t="shared" si="35"/>
        <v>Irak</v>
      </c>
      <c r="K63" s="198">
        <f t="shared" si="1"/>
        <v>31</v>
      </c>
      <c r="L63" s="197" t="str">
        <f t="shared" si="36"/>
        <v>Noorwegen</v>
      </c>
      <c r="M63" s="232"/>
      <c r="N63" s="232"/>
      <c r="O63" s="228"/>
      <c r="P63" s="198" t="str">
        <f t="shared" si="37"/>
        <v/>
      </c>
      <c r="Q63" s="198" t="str">
        <f>IF((P63&lt;&gt;""),IF(OR($F63&lt;&gt;$G63,PrSettings!$M$4="●"),(($F63-$G63)=(M63-N63))*1,0),"")</f>
        <v/>
      </c>
      <c r="R63" s="198" t="str">
        <f t="shared" si="38"/>
        <v/>
      </c>
      <c r="S63" s="198" t="str">
        <f>IF(P63&lt;&gt;"",IF(ABS($F63-$G63)&gt;=PrSettings!$M$7,(ABS($F63-$G63-M63+N63)&lt;=1)*1,IF(AND(P63,$F63=$G63,$F63&gt;=PrSettings!$M$6),(ABS(M63-$F63)&lt;=1)*1,IF(AND(P63,$F63+$G63&gt;=PrSettings!$M$8),(ABS(M63-$F63)+ABS(N63-$G63)&lt;=1)*1,""))),"")</f>
        <v/>
      </c>
      <c r="T63" s="989"/>
      <c r="U63" s="965"/>
      <c r="V63" s="966"/>
      <c r="W63" s="973"/>
      <c r="X63" s="966"/>
      <c r="Y63" s="973"/>
      <c r="Z63" s="978"/>
      <c r="AA63" s="978"/>
      <c r="AB63" s="966"/>
      <c r="AC63" s="966"/>
      <c r="AD63" s="966"/>
      <c r="AE63" s="966"/>
      <c r="AF63" s="966"/>
      <c r="AG63" s="966"/>
      <c r="AH63" s="965"/>
      <c r="AI63" s="966"/>
      <c r="AJ63" s="973"/>
      <c r="AK63" s="966"/>
      <c r="AL63" s="973"/>
      <c r="AM63" s="978"/>
      <c r="AN63" s="978"/>
      <c r="AO63" s="966"/>
      <c r="AP63" s="966"/>
      <c r="AQ63" s="966"/>
      <c r="AR63" s="966"/>
      <c r="AS63" s="966"/>
      <c r="AT63" s="966"/>
      <c r="AU63" s="965"/>
      <c r="AV63" s="966"/>
      <c r="AW63" s="973"/>
      <c r="AX63" s="966"/>
      <c r="AY63" s="973"/>
      <c r="AZ63" s="978"/>
      <c r="BA63" s="978"/>
      <c r="BB63" s="966"/>
      <c r="BC63" s="966"/>
      <c r="BD63" s="966"/>
      <c r="BE63" s="966"/>
      <c r="BF63" s="966"/>
      <c r="BG63" s="966"/>
      <c r="BH63" s="965"/>
      <c r="BI63" s="966"/>
      <c r="BJ63" s="973"/>
      <c r="BK63" s="966"/>
      <c r="BL63" s="973"/>
      <c r="BM63" s="978"/>
      <c r="BN63" s="978"/>
      <c r="BO63" s="966"/>
      <c r="BP63" s="966"/>
      <c r="BQ63" s="966"/>
      <c r="BR63" s="966"/>
      <c r="BS63" s="966"/>
      <c r="BT63" s="966"/>
      <c r="BU63" s="965"/>
      <c r="BV63" s="966"/>
      <c r="BW63" s="973"/>
      <c r="BX63" s="966"/>
      <c r="BY63" s="973"/>
      <c r="BZ63" s="978"/>
      <c r="CA63" s="978"/>
      <c r="CB63" s="966"/>
      <c r="CC63" s="966"/>
      <c r="CD63" s="966"/>
      <c r="CE63" s="966"/>
      <c r="CF63" s="966"/>
      <c r="CG63" s="966"/>
      <c r="CH63" s="965"/>
      <c r="CI63" s="966"/>
      <c r="CJ63" s="973"/>
      <c r="CK63" s="966"/>
      <c r="CL63" s="973"/>
      <c r="CM63" s="978"/>
      <c r="CN63" s="978"/>
      <c r="CO63" s="966"/>
      <c r="CP63" s="966"/>
      <c r="CQ63" s="966"/>
      <c r="CR63" s="966"/>
      <c r="CS63" s="966"/>
      <c r="CT63" s="966"/>
      <c r="CU63" s="965"/>
      <c r="CV63" s="966"/>
      <c r="CW63" s="973"/>
      <c r="CX63" s="966"/>
      <c r="CY63" s="973"/>
      <c r="CZ63" s="978"/>
      <c r="DA63" s="978"/>
      <c r="DB63" s="966"/>
      <c r="DC63" s="966"/>
      <c r="DD63" s="966"/>
      <c r="DE63" s="966"/>
      <c r="DF63" s="966"/>
      <c r="DG63" s="966"/>
      <c r="DH63" s="965"/>
      <c r="DI63" s="966"/>
      <c r="DJ63" s="973"/>
      <c r="DK63" s="966"/>
      <c r="DL63" s="973"/>
      <c r="DM63" s="978"/>
      <c r="DN63" s="978"/>
      <c r="DO63" s="966"/>
      <c r="DP63" s="966"/>
      <c r="DQ63" s="966"/>
      <c r="DR63" s="966"/>
      <c r="DS63" s="966"/>
      <c r="DT63" s="966"/>
      <c r="DU63" s="965"/>
      <c r="DV63" s="966"/>
      <c r="DW63" s="973"/>
      <c r="DX63" s="966"/>
      <c r="DY63" s="973"/>
      <c r="DZ63" s="978"/>
      <c r="EA63" s="978"/>
      <c r="EB63" s="966"/>
      <c r="EC63" s="966"/>
      <c r="ED63" s="966"/>
      <c r="EE63" s="966"/>
      <c r="EF63" s="966"/>
      <c r="EG63" s="966"/>
      <c r="EH63" s="965"/>
      <c r="EI63" s="966"/>
      <c r="EJ63" s="973"/>
      <c r="EK63" s="966"/>
      <c r="EL63" s="973"/>
      <c r="EM63" s="978"/>
      <c r="EN63" s="978"/>
      <c r="EO63" s="966"/>
      <c r="EP63" s="966"/>
      <c r="EQ63" s="966"/>
      <c r="ER63" s="966"/>
      <c r="ES63" s="966"/>
      <c r="ET63" s="966"/>
      <c r="EU63" s="965"/>
      <c r="EV63" s="966"/>
      <c r="EW63" s="973"/>
      <c r="EX63" s="966"/>
      <c r="EY63" s="973"/>
      <c r="EZ63" s="978"/>
      <c r="FA63" s="978"/>
      <c r="FB63" s="966"/>
      <c r="FC63" s="966"/>
      <c r="FD63" s="966"/>
      <c r="FE63" s="966"/>
      <c r="FF63" s="966"/>
      <c r="FG63" s="966"/>
      <c r="FH63" s="965"/>
      <c r="FI63" s="966"/>
      <c r="FJ63" s="973"/>
      <c r="FK63" s="966"/>
      <c r="FL63" s="973"/>
      <c r="FM63" s="978"/>
      <c r="FN63" s="978"/>
      <c r="FO63" s="966"/>
      <c r="FP63" s="966"/>
      <c r="FQ63" s="966"/>
      <c r="FR63" s="966"/>
      <c r="FS63" s="966"/>
      <c r="FT63" s="966"/>
      <c r="FU63" s="965"/>
      <c r="FV63" s="966"/>
      <c r="FW63" s="973"/>
      <c r="FX63" s="966"/>
      <c r="FY63" s="973"/>
      <c r="FZ63" s="978"/>
      <c r="GA63" s="978"/>
      <c r="GB63" s="966"/>
      <c r="GC63" s="966"/>
      <c r="GD63" s="966"/>
      <c r="GE63" s="966"/>
      <c r="GF63" s="966"/>
      <c r="GG63" s="966"/>
      <c r="GH63" s="965"/>
      <c r="GI63" s="966"/>
      <c r="GJ63" s="973"/>
      <c r="GK63" s="966"/>
      <c r="GL63" s="973"/>
      <c r="GM63" s="978"/>
      <c r="GN63" s="978"/>
      <c r="GO63" s="966"/>
      <c r="GP63" s="966"/>
      <c r="GQ63" s="966"/>
      <c r="GR63" s="966"/>
      <c r="GS63" s="966"/>
      <c r="GT63" s="966"/>
      <c r="GU63" s="965"/>
      <c r="GV63" s="966"/>
      <c r="GW63" s="973"/>
      <c r="GX63" s="966"/>
      <c r="GY63" s="973"/>
      <c r="GZ63" s="978"/>
      <c r="HA63" s="978"/>
      <c r="HB63" s="966"/>
      <c r="HC63" s="966"/>
      <c r="HD63" s="966"/>
      <c r="HE63" s="966"/>
      <c r="HF63" s="966"/>
      <c r="HG63" s="966"/>
      <c r="HH63" s="965"/>
      <c r="HI63" s="966"/>
      <c r="HJ63" s="973"/>
      <c r="HK63" s="966"/>
      <c r="HL63" s="973"/>
      <c r="HM63" s="978"/>
      <c r="HN63" s="978"/>
      <c r="HO63" s="966"/>
      <c r="HP63" s="966"/>
      <c r="HQ63" s="966"/>
      <c r="HR63" s="966"/>
      <c r="HS63" s="966"/>
      <c r="HT63" s="966"/>
      <c r="HU63" s="965"/>
      <c r="HV63" s="966"/>
      <c r="HW63" s="973"/>
      <c r="HX63" s="966"/>
      <c r="HY63" s="973"/>
      <c r="HZ63" s="978"/>
      <c r="IA63" s="978"/>
      <c r="IB63" s="966"/>
      <c r="IC63" s="966"/>
      <c r="ID63" s="966"/>
      <c r="IE63" s="966"/>
      <c r="IF63" s="966"/>
      <c r="IG63" s="966"/>
      <c r="IH63" s="965"/>
      <c r="II63" s="966"/>
      <c r="IJ63" s="973"/>
      <c r="IK63" s="966"/>
      <c r="IL63" s="973"/>
      <c r="IM63" s="978"/>
      <c r="IN63" s="978"/>
      <c r="IO63" s="966"/>
      <c r="IP63" s="966"/>
      <c r="IQ63" s="966"/>
      <c r="IR63" s="966"/>
      <c r="IS63" s="966"/>
      <c r="IT63" s="966"/>
      <c r="IU63" s="965"/>
      <c r="IV63" s="966"/>
      <c r="IW63" s="973"/>
      <c r="IX63" s="966"/>
      <c r="IY63" s="973"/>
      <c r="IZ63" s="978"/>
      <c r="JA63" s="978"/>
      <c r="JB63" s="966"/>
      <c r="JC63" s="966"/>
      <c r="JD63" s="966"/>
      <c r="JE63" s="966"/>
      <c r="JF63" s="966"/>
      <c r="JG63" s="966"/>
      <c r="JH63" s="965"/>
      <c r="JI63" s="966"/>
      <c r="JJ63" s="973"/>
      <c r="JK63" s="966"/>
      <c r="JL63" s="973"/>
      <c r="JM63" s="978"/>
      <c r="JN63" s="978"/>
      <c r="JO63" s="966"/>
      <c r="JP63" s="966"/>
      <c r="JQ63" s="966"/>
      <c r="JR63" s="966"/>
      <c r="JS63" s="966"/>
      <c r="JT63" s="966"/>
      <c r="JU63" s="965"/>
      <c r="JV63" s="966"/>
      <c r="JW63" s="973"/>
      <c r="JX63" s="966"/>
      <c r="JY63" s="973"/>
      <c r="JZ63" s="978"/>
      <c r="KA63" s="978"/>
      <c r="KB63" s="966"/>
      <c r="KC63" s="966"/>
      <c r="KD63" s="966"/>
      <c r="KE63" s="966"/>
      <c r="KF63" s="966"/>
      <c r="KG63" s="966"/>
      <c r="KH63" s="965"/>
      <c r="KI63" s="966"/>
      <c r="KJ63" s="973"/>
      <c r="KK63" s="966"/>
      <c r="KL63" s="973"/>
      <c r="KM63" s="978"/>
      <c r="KN63" s="978"/>
      <c r="KO63" s="966"/>
      <c r="KP63" s="966"/>
      <c r="KQ63" s="966"/>
      <c r="KR63" s="966"/>
      <c r="KS63" s="966"/>
      <c r="KT63" s="966"/>
      <c r="KU63" s="965"/>
      <c r="KV63" s="966"/>
      <c r="KW63" s="973"/>
      <c r="KX63" s="966"/>
      <c r="KY63" s="973"/>
      <c r="KZ63" s="978"/>
      <c r="LA63" s="978"/>
      <c r="LB63" s="966"/>
      <c r="LC63" s="966"/>
      <c r="LD63" s="966"/>
      <c r="LE63" s="966"/>
      <c r="LF63" s="966"/>
      <c r="LG63" s="966"/>
      <c r="LH63" s="965"/>
      <c r="LI63" s="966"/>
      <c r="LJ63" s="973"/>
      <c r="LK63" s="966"/>
      <c r="LL63" s="973"/>
      <c r="LM63" s="978"/>
      <c r="LN63" s="978"/>
      <c r="LO63" s="966"/>
      <c r="LP63" s="966"/>
      <c r="LQ63" s="966"/>
      <c r="LR63" s="966"/>
      <c r="LS63" s="966"/>
      <c r="LT63" s="966"/>
      <c r="LU63" s="965"/>
      <c r="LV63" s="966"/>
      <c r="LW63" s="973"/>
      <c r="LX63" s="966"/>
      <c r="LY63" s="973"/>
      <c r="LZ63" s="978"/>
      <c r="MA63" s="978"/>
      <c r="MB63" s="966"/>
      <c r="MC63" s="966"/>
      <c r="MD63" s="966"/>
      <c r="ME63" s="966"/>
      <c r="MF63" s="966"/>
      <c r="MG63" s="966"/>
    </row>
    <row r="64" spans="2:345">
      <c r="B64" s="196">
        <f>INDEX(Groups!$C$7:$C$65,MATCH(C64,Groups!$D$7:$D$65,0))</f>
        <v>1</v>
      </c>
      <c r="C64" s="197" t="str">
        <f>CalcI!$P$24</f>
        <v>Frankrijk</v>
      </c>
      <c r="D64" s="198">
        <f>INDEX(Groups!$C$7:$C$65,MATCH(E64,Groups!$D$7:$D$65,0))</f>
        <v>57</v>
      </c>
      <c r="E64" s="197" t="str">
        <f>CalcI!$Q$24</f>
        <v>Irak</v>
      </c>
      <c r="F64" s="199" t="str">
        <f>CalcI!$R$24</f>
        <v/>
      </c>
      <c r="G64" s="200" t="str">
        <f>CalcI!$S$24</f>
        <v/>
      </c>
      <c r="I64" s="196">
        <f t="shared" si="18"/>
        <v>1</v>
      </c>
      <c r="J64" s="197" t="str">
        <f t="shared" si="35"/>
        <v>Frankrijk</v>
      </c>
      <c r="K64" s="198">
        <f t="shared" si="1"/>
        <v>57</v>
      </c>
      <c r="L64" s="197" t="str">
        <f t="shared" si="36"/>
        <v>Irak</v>
      </c>
      <c r="M64" s="232"/>
      <c r="N64" s="232"/>
      <c r="O64" s="228"/>
      <c r="P64" s="198" t="str">
        <f t="shared" si="37"/>
        <v/>
      </c>
      <c r="Q64" s="198" t="str">
        <f>IF((P64&lt;&gt;""),IF(OR($F64&lt;&gt;$G64,PrSettings!$M$4="●"),(($F64-$G64)=(M64-N64))*1,0),"")</f>
        <v/>
      </c>
      <c r="R64" s="198" t="str">
        <f t="shared" si="38"/>
        <v/>
      </c>
      <c r="S64" s="198" t="str">
        <f>IF(P64&lt;&gt;"",IF(ABS($F64-$G64)&gt;=PrSettings!$M$7,(ABS($F64-$G64-M64+N64)&lt;=1)*1,IF(AND(P64,$F64=$G64,$F64&gt;=PrSettings!$M$6),(ABS(M64-$F64)&lt;=1)*1,IF(AND(P64,$F64+$G64&gt;=PrSettings!$M$8),(ABS(M64-$F64)+ABS(N64-$G64)&lt;=1)*1,""))),"")</f>
        <v/>
      </c>
      <c r="T64" s="989"/>
      <c r="U64" s="965"/>
      <c r="V64" s="966"/>
      <c r="W64" s="973"/>
      <c r="X64" s="966"/>
      <c r="Y64" s="973"/>
      <c r="Z64" s="978"/>
      <c r="AA64" s="978"/>
      <c r="AB64" s="966"/>
      <c r="AC64" s="966"/>
      <c r="AD64" s="966"/>
      <c r="AE64" s="966"/>
      <c r="AF64" s="966"/>
      <c r="AG64" s="966"/>
      <c r="AH64" s="965"/>
      <c r="AI64" s="966"/>
      <c r="AJ64" s="973"/>
      <c r="AK64" s="966"/>
      <c r="AL64" s="973"/>
      <c r="AM64" s="978"/>
      <c r="AN64" s="978"/>
      <c r="AO64" s="966"/>
      <c r="AP64" s="966"/>
      <c r="AQ64" s="966"/>
      <c r="AR64" s="966"/>
      <c r="AS64" s="966"/>
      <c r="AT64" s="966"/>
      <c r="AU64" s="965"/>
      <c r="AV64" s="966"/>
      <c r="AW64" s="973"/>
      <c r="AX64" s="966"/>
      <c r="AY64" s="973"/>
      <c r="AZ64" s="978"/>
      <c r="BA64" s="978"/>
      <c r="BB64" s="966"/>
      <c r="BC64" s="966"/>
      <c r="BD64" s="966"/>
      <c r="BE64" s="966"/>
      <c r="BF64" s="966"/>
      <c r="BG64" s="966"/>
      <c r="BH64" s="965"/>
      <c r="BI64" s="966"/>
      <c r="BJ64" s="973"/>
      <c r="BK64" s="966"/>
      <c r="BL64" s="973"/>
      <c r="BM64" s="978"/>
      <c r="BN64" s="978"/>
      <c r="BO64" s="966"/>
      <c r="BP64" s="966"/>
      <c r="BQ64" s="966"/>
      <c r="BR64" s="966"/>
      <c r="BS64" s="966"/>
      <c r="BT64" s="966"/>
      <c r="BU64" s="965"/>
      <c r="BV64" s="966"/>
      <c r="BW64" s="973"/>
      <c r="BX64" s="966"/>
      <c r="BY64" s="973"/>
      <c r="BZ64" s="978"/>
      <c r="CA64" s="978"/>
      <c r="CB64" s="966"/>
      <c r="CC64" s="966"/>
      <c r="CD64" s="966"/>
      <c r="CE64" s="966"/>
      <c r="CF64" s="966"/>
      <c r="CG64" s="966"/>
      <c r="CH64" s="965"/>
      <c r="CI64" s="966"/>
      <c r="CJ64" s="973"/>
      <c r="CK64" s="966"/>
      <c r="CL64" s="973"/>
      <c r="CM64" s="978"/>
      <c r="CN64" s="978"/>
      <c r="CO64" s="966"/>
      <c r="CP64" s="966"/>
      <c r="CQ64" s="966"/>
      <c r="CR64" s="966"/>
      <c r="CS64" s="966"/>
      <c r="CT64" s="966"/>
      <c r="CU64" s="965"/>
      <c r="CV64" s="966"/>
      <c r="CW64" s="973"/>
      <c r="CX64" s="966"/>
      <c r="CY64" s="973"/>
      <c r="CZ64" s="978"/>
      <c r="DA64" s="978"/>
      <c r="DB64" s="966"/>
      <c r="DC64" s="966"/>
      <c r="DD64" s="966"/>
      <c r="DE64" s="966"/>
      <c r="DF64" s="966"/>
      <c r="DG64" s="966"/>
      <c r="DH64" s="965"/>
      <c r="DI64" s="966"/>
      <c r="DJ64" s="973"/>
      <c r="DK64" s="966"/>
      <c r="DL64" s="973"/>
      <c r="DM64" s="978"/>
      <c r="DN64" s="978"/>
      <c r="DO64" s="966"/>
      <c r="DP64" s="966"/>
      <c r="DQ64" s="966"/>
      <c r="DR64" s="966"/>
      <c r="DS64" s="966"/>
      <c r="DT64" s="966"/>
      <c r="DU64" s="965"/>
      <c r="DV64" s="966"/>
      <c r="DW64" s="973"/>
      <c r="DX64" s="966"/>
      <c r="DY64" s="973"/>
      <c r="DZ64" s="978"/>
      <c r="EA64" s="978"/>
      <c r="EB64" s="966"/>
      <c r="EC64" s="966"/>
      <c r="ED64" s="966"/>
      <c r="EE64" s="966"/>
      <c r="EF64" s="966"/>
      <c r="EG64" s="966"/>
      <c r="EH64" s="965"/>
      <c r="EI64" s="966"/>
      <c r="EJ64" s="973"/>
      <c r="EK64" s="966"/>
      <c r="EL64" s="973"/>
      <c r="EM64" s="978"/>
      <c r="EN64" s="978"/>
      <c r="EO64" s="966"/>
      <c r="EP64" s="966"/>
      <c r="EQ64" s="966"/>
      <c r="ER64" s="966"/>
      <c r="ES64" s="966"/>
      <c r="ET64" s="966"/>
      <c r="EU64" s="965"/>
      <c r="EV64" s="966"/>
      <c r="EW64" s="973"/>
      <c r="EX64" s="966"/>
      <c r="EY64" s="973"/>
      <c r="EZ64" s="978"/>
      <c r="FA64" s="978"/>
      <c r="FB64" s="966"/>
      <c r="FC64" s="966"/>
      <c r="FD64" s="966"/>
      <c r="FE64" s="966"/>
      <c r="FF64" s="966"/>
      <c r="FG64" s="966"/>
      <c r="FH64" s="965"/>
      <c r="FI64" s="966"/>
      <c r="FJ64" s="973"/>
      <c r="FK64" s="966"/>
      <c r="FL64" s="973"/>
      <c r="FM64" s="978"/>
      <c r="FN64" s="978"/>
      <c r="FO64" s="966"/>
      <c r="FP64" s="966"/>
      <c r="FQ64" s="966"/>
      <c r="FR64" s="966"/>
      <c r="FS64" s="966"/>
      <c r="FT64" s="966"/>
      <c r="FU64" s="965"/>
      <c r="FV64" s="966"/>
      <c r="FW64" s="973"/>
      <c r="FX64" s="966"/>
      <c r="FY64" s="973"/>
      <c r="FZ64" s="978"/>
      <c r="GA64" s="978"/>
      <c r="GB64" s="966"/>
      <c r="GC64" s="966"/>
      <c r="GD64" s="966"/>
      <c r="GE64" s="966"/>
      <c r="GF64" s="966"/>
      <c r="GG64" s="966"/>
      <c r="GH64" s="965"/>
      <c r="GI64" s="966"/>
      <c r="GJ64" s="973"/>
      <c r="GK64" s="966"/>
      <c r="GL64" s="973"/>
      <c r="GM64" s="978"/>
      <c r="GN64" s="978"/>
      <c r="GO64" s="966"/>
      <c r="GP64" s="966"/>
      <c r="GQ64" s="966"/>
      <c r="GR64" s="966"/>
      <c r="GS64" s="966"/>
      <c r="GT64" s="966"/>
      <c r="GU64" s="965"/>
      <c r="GV64" s="966"/>
      <c r="GW64" s="973"/>
      <c r="GX64" s="966"/>
      <c r="GY64" s="973"/>
      <c r="GZ64" s="978"/>
      <c r="HA64" s="978"/>
      <c r="HB64" s="966"/>
      <c r="HC64" s="966"/>
      <c r="HD64" s="966"/>
      <c r="HE64" s="966"/>
      <c r="HF64" s="966"/>
      <c r="HG64" s="966"/>
      <c r="HH64" s="965"/>
      <c r="HI64" s="966"/>
      <c r="HJ64" s="973"/>
      <c r="HK64" s="966"/>
      <c r="HL64" s="973"/>
      <c r="HM64" s="978"/>
      <c r="HN64" s="978"/>
      <c r="HO64" s="966"/>
      <c r="HP64" s="966"/>
      <c r="HQ64" s="966"/>
      <c r="HR64" s="966"/>
      <c r="HS64" s="966"/>
      <c r="HT64" s="966"/>
      <c r="HU64" s="965"/>
      <c r="HV64" s="966"/>
      <c r="HW64" s="973"/>
      <c r="HX64" s="966"/>
      <c r="HY64" s="973"/>
      <c r="HZ64" s="978"/>
      <c r="IA64" s="978"/>
      <c r="IB64" s="966"/>
      <c r="IC64" s="966"/>
      <c r="ID64" s="966"/>
      <c r="IE64" s="966"/>
      <c r="IF64" s="966"/>
      <c r="IG64" s="966"/>
      <c r="IH64" s="965"/>
      <c r="II64" s="966"/>
      <c r="IJ64" s="973"/>
      <c r="IK64" s="966"/>
      <c r="IL64" s="973"/>
      <c r="IM64" s="978"/>
      <c r="IN64" s="978"/>
      <c r="IO64" s="966"/>
      <c r="IP64" s="966"/>
      <c r="IQ64" s="966"/>
      <c r="IR64" s="966"/>
      <c r="IS64" s="966"/>
      <c r="IT64" s="966"/>
      <c r="IU64" s="965"/>
      <c r="IV64" s="966"/>
      <c r="IW64" s="973"/>
      <c r="IX64" s="966"/>
      <c r="IY64" s="973"/>
      <c r="IZ64" s="978"/>
      <c r="JA64" s="978"/>
      <c r="JB64" s="966"/>
      <c r="JC64" s="966"/>
      <c r="JD64" s="966"/>
      <c r="JE64" s="966"/>
      <c r="JF64" s="966"/>
      <c r="JG64" s="966"/>
      <c r="JH64" s="965"/>
      <c r="JI64" s="966"/>
      <c r="JJ64" s="973"/>
      <c r="JK64" s="966"/>
      <c r="JL64" s="973"/>
      <c r="JM64" s="978"/>
      <c r="JN64" s="978"/>
      <c r="JO64" s="966"/>
      <c r="JP64" s="966"/>
      <c r="JQ64" s="966"/>
      <c r="JR64" s="966"/>
      <c r="JS64" s="966"/>
      <c r="JT64" s="966"/>
      <c r="JU64" s="965"/>
      <c r="JV64" s="966"/>
      <c r="JW64" s="973"/>
      <c r="JX64" s="966"/>
      <c r="JY64" s="973"/>
      <c r="JZ64" s="978"/>
      <c r="KA64" s="978"/>
      <c r="KB64" s="966"/>
      <c r="KC64" s="966"/>
      <c r="KD64" s="966"/>
      <c r="KE64" s="966"/>
      <c r="KF64" s="966"/>
      <c r="KG64" s="966"/>
      <c r="KH64" s="965"/>
      <c r="KI64" s="966"/>
      <c r="KJ64" s="973"/>
      <c r="KK64" s="966"/>
      <c r="KL64" s="973"/>
      <c r="KM64" s="978"/>
      <c r="KN64" s="978"/>
      <c r="KO64" s="966"/>
      <c r="KP64" s="966"/>
      <c r="KQ64" s="966"/>
      <c r="KR64" s="966"/>
      <c r="KS64" s="966"/>
      <c r="KT64" s="966"/>
      <c r="KU64" s="965"/>
      <c r="KV64" s="966"/>
      <c r="KW64" s="973"/>
      <c r="KX64" s="966"/>
      <c r="KY64" s="973"/>
      <c r="KZ64" s="978"/>
      <c r="LA64" s="978"/>
      <c r="LB64" s="966"/>
      <c r="LC64" s="966"/>
      <c r="LD64" s="966"/>
      <c r="LE64" s="966"/>
      <c r="LF64" s="966"/>
      <c r="LG64" s="966"/>
      <c r="LH64" s="965"/>
      <c r="LI64" s="966"/>
      <c r="LJ64" s="973"/>
      <c r="LK64" s="966"/>
      <c r="LL64" s="973"/>
      <c r="LM64" s="978"/>
      <c r="LN64" s="978"/>
      <c r="LO64" s="966"/>
      <c r="LP64" s="966"/>
      <c r="LQ64" s="966"/>
      <c r="LR64" s="966"/>
      <c r="LS64" s="966"/>
      <c r="LT64" s="966"/>
      <c r="LU64" s="965"/>
      <c r="LV64" s="966"/>
      <c r="LW64" s="973"/>
      <c r="LX64" s="966"/>
      <c r="LY64" s="973"/>
      <c r="LZ64" s="978"/>
      <c r="MA64" s="978"/>
      <c r="MB64" s="966"/>
      <c r="MC64" s="966"/>
      <c r="MD64" s="966"/>
      <c r="ME64" s="966"/>
      <c r="MF64" s="966"/>
      <c r="MG64" s="966"/>
    </row>
    <row r="65" spans="2:345">
      <c r="B65" s="196">
        <f>INDEX(Groups!$C$7:$C$65,MATCH(C65,Groups!$D$7:$D$65,0))</f>
        <v>31</v>
      </c>
      <c r="C65" s="197" t="str">
        <f>CalcI!$P$25</f>
        <v>Noorwegen</v>
      </c>
      <c r="D65" s="198">
        <f>INDEX(Groups!$C$7:$C$65,MATCH(E65,Groups!$D$7:$D$65,0))</f>
        <v>14</v>
      </c>
      <c r="E65" s="197" t="str">
        <f>CalcI!$Q$25</f>
        <v>Senegal</v>
      </c>
      <c r="F65" s="199" t="str">
        <f>CalcI!$R$25</f>
        <v/>
      </c>
      <c r="G65" s="200" t="str">
        <f>CalcI!$S$25</f>
        <v/>
      </c>
      <c r="I65" s="196">
        <f t="shared" si="18"/>
        <v>31</v>
      </c>
      <c r="J65" s="197" t="str">
        <f t="shared" si="35"/>
        <v>Noorwegen</v>
      </c>
      <c r="K65" s="198">
        <f t="shared" si="1"/>
        <v>14</v>
      </c>
      <c r="L65" s="197" t="str">
        <f t="shared" si="36"/>
        <v>Senegal</v>
      </c>
      <c r="M65" s="232"/>
      <c r="N65" s="232"/>
      <c r="O65" s="228"/>
      <c r="P65" s="198" t="str">
        <f t="shared" si="37"/>
        <v/>
      </c>
      <c r="Q65" s="198" t="str">
        <f>IF((P65&lt;&gt;""),IF(OR($F65&lt;&gt;$G65,PrSettings!$M$4="●"),(($F65-$G65)=(M65-N65))*1,0),"")</f>
        <v/>
      </c>
      <c r="R65" s="198" t="str">
        <f t="shared" si="38"/>
        <v/>
      </c>
      <c r="S65" s="198" t="str">
        <f>IF(P65&lt;&gt;"",IF(ABS($F65-$G65)&gt;=PrSettings!$M$7,(ABS($F65-$G65-M65+N65)&lt;=1)*1,IF(AND(P65,$F65=$G65,$F65&gt;=PrSettings!$M$6),(ABS(M65-$F65)&lt;=1)*1,IF(AND(P65,$F65+$G65&gt;=PrSettings!$M$8),(ABS(M65-$F65)+ABS(N65-$G65)&lt;=1)*1,""))),"")</f>
        <v/>
      </c>
      <c r="T65" s="989"/>
      <c r="U65" s="965"/>
      <c r="V65" s="966"/>
      <c r="W65" s="973"/>
      <c r="X65" s="966"/>
      <c r="Y65" s="973"/>
      <c r="Z65" s="978"/>
      <c r="AA65" s="978"/>
      <c r="AB65" s="966"/>
      <c r="AC65" s="966"/>
      <c r="AD65" s="966"/>
      <c r="AE65" s="966"/>
      <c r="AF65" s="966"/>
      <c r="AG65" s="966"/>
      <c r="AH65" s="965"/>
      <c r="AI65" s="966"/>
      <c r="AJ65" s="973"/>
      <c r="AK65" s="966"/>
      <c r="AL65" s="973"/>
      <c r="AM65" s="978"/>
      <c r="AN65" s="978"/>
      <c r="AO65" s="966"/>
      <c r="AP65" s="966"/>
      <c r="AQ65" s="966"/>
      <c r="AR65" s="966"/>
      <c r="AS65" s="966"/>
      <c r="AT65" s="966"/>
      <c r="AU65" s="965"/>
      <c r="AV65" s="966"/>
      <c r="AW65" s="973"/>
      <c r="AX65" s="966"/>
      <c r="AY65" s="973"/>
      <c r="AZ65" s="978"/>
      <c r="BA65" s="978"/>
      <c r="BB65" s="966"/>
      <c r="BC65" s="966"/>
      <c r="BD65" s="966"/>
      <c r="BE65" s="966"/>
      <c r="BF65" s="966"/>
      <c r="BG65" s="966"/>
      <c r="BH65" s="965"/>
      <c r="BI65" s="966"/>
      <c r="BJ65" s="973"/>
      <c r="BK65" s="966"/>
      <c r="BL65" s="973"/>
      <c r="BM65" s="978"/>
      <c r="BN65" s="978"/>
      <c r="BO65" s="966"/>
      <c r="BP65" s="966"/>
      <c r="BQ65" s="966"/>
      <c r="BR65" s="966"/>
      <c r="BS65" s="966"/>
      <c r="BT65" s="966"/>
      <c r="BU65" s="965"/>
      <c r="BV65" s="966"/>
      <c r="BW65" s="973"/>
      <c r="BX65" s="966"/>
      <c r="BY65" s="973"/>
      <c r="BZ65" s="978"/>
      <c r="CA65" s="978"/>
      <c r="CB65" s="966"/>
      <c r="CC65" s="966"/>
      <c r="CD65" s="966"/>
      <c r="CE65" s="966"/>
      <c r="CF65" s="966"/>
      <c r="CG65" s="966"/>
      <c r="CH65" s="965"/>
      <c r="CI65" s="966"/>
      <c r="CJ65" s="973"/>
      <c r="CK65" s="966"/>
      <c r="CL65" s="973"/>
      <c r="CM65" s="978"/>
      <c r="CN65" s="978"/>
      <c r="CO65" s="966"/>
      <c r="CP65" s="966"/>
      <c r="CQ65" s="966"/>
      <c r="CR65" s="966"/>
      <c r="CS65" s="966"/>
      <c r="CT65" s="966"/>
      <c r="CU65" s="965"/>
      <c r="CV65" s="966"/>
      <c r="CW65" s="973"/>
      <c r="CX65" s="966"/>
      <c r="CY65" s="973"/>
      <c r="CZ65" s="978"/>
      <c r="DA65" s="978"/>
      <c r="DB65" s="966"/>
      <c r="DC65" s="966"/>
      <c r="DD65" s="966"/>
      <c r="DE65" s="966"/>
      <c r="DF65" s="966"/>
      <c r="DG65" s="966"/>
      <c r="DH65" s="965"/>
      <c r="DI65" s="966"/>
      <c r="DJ65" s="973"/>
      <c r="DK65" s="966"/>
      <c r="DL65" s="973"/>
      <c r="DM65" s="978"/>
      <c r="DN65" s="978"/>
      <c r="DO65" s="966"/>
      <c r="DP65" s="966"/>
      <c r="DQ65" s="966"/>
      <c r="DR65" s="966"/>
      <c r="DS65" s="966"/>
      <c r="DT65" s="966"/>
      <c r="DU65" s="965"/>
      <c r="DV65" s="966"/>
      <c r="DW65" s="973"/>
      <c r="DX65" s="966"/>
      <c r="DY65" s="973"/>
      <c r="DZ65" s="978"/>
      <c r="EA65" s="978"/>
      <c r="EB65" s="966"/>
      <c r="EC65" s="966"/>
      <c r="ED65" s="966"/>
      <c r="EE65" s="966"/>
      <c r="EF65" s="966"/>
      <c r="EG65" s="966"/>
      <c r="EH65" s="965"/>
      <c r="EI65" s="966"/>
      <c r="EJ65" s="973"/>
      <c r="EK65" s="966"/>
      <c r="EL65" s="973"/>
      <c r="EM65" s="978"/>
      <c r="EN65" s="978"/>
      <c r="EO65" s="966"/>
      <c r="EP65" s="966"/>
      <c r="EQ65" s="966"/>
      <c r="ER65" s="966"/>
      <c r="ES65" s="966"/>
      <c r="ET65" s="966"/>
      <c r="EU65" s="965"/>
      <c r="EV65" s="966"/>
      <c r="EW65" s="973"/>
      <c r="EX65" s="966"/>
      <c r="EY65" s="973"/>
      <c r="EZ65" s="978"/>
      <c r="FA65" s="978"/>
      <c r="FB65" s="966"/>
      <c r="FC65" s="966"/>
      <c r="FD65" s="966"/>
      <c r="FE65" s="966"/>
      <c r="FF65" s="966"/>
      <c r="FG65" s="966"/>
      <c r="FH65" s="965"/>
      <c r="FI65" s="966"/>
      <c r="FJ65" s="973"/>
      <c r="FK65" s="966"/>
      <c r="FL65" s="973"/>
      <c r="FM65" s="978"/>
      <c r="FN65" s="978"/>
      <c r="FO65" s="966"/>
      <c r="FP65" s="966"/>
      <c r="FQ65" s="966"/>
      <c r="FR65" s="966"/>
      <c r="FS65" s="966"/>
      <c r="FT65" s="966"/>
      <c r="FU65" s="965"/>
      <c r="FV65" s="966"/>
      <c r="FW65" s="973"/>
      <c r="FX65" s="966"/>
      <c r="FY65" s="973"/>
      <c r="FZ65" s="978"/>
      <c r="GA65" s="978"/>
      <c r="GB65" s="966"/>
      <c r="GC65" s="966"/>
      <c r="GD65" s="966"/>
      <c r="GE65" s="966"/>
      <c r="GF65" s="966"/>
      <c r="GG65" s="966"/>
      <c r="GH65" s="965"/>
      <c r="GI65" s="966"/>
      <c r="GJ65" s="973"/>
      <c r="GK65" s="966"/>
      <c r="GL65" s="973"/>
      <c r="GM65" s="978"/>
      <c r="GN65" s="978"/>
      <c r="GO65" s="966"/>
      <c r="GP65" s="966"/>
      <c r="GQ65" s="966"/>
      <c r="GR65" s="966"/>
      <c r="GS65" s="966"/>
      <c r="GT65" s="966"/>
      <c r="GU65" s="965"/>
      <c r="GV65" s="966"/>
      <c r="GW65" s="973"/>
      <c r="GX65" s="966"/>
      <c r="GY65" s="973"/>
      <c r="GZ65" s="978"/>
      <c r="HA65" s="978"/>
      <c r="HB65" s="966"/>
      <c r="HC65" s="966"/>
      <c r="HD65" s="966"/>
      <c r="HE65" s="966"/>
      <c r="HF65" s="966"/>
      <c r="HG65" s="966"/>
      <c r="HH65" s="965"/>
      <c r="HI65" s="966"/>
      <c r="HJ65" s="973"/>
      <c r="HK65" s="966"/>
      <c r="HL65" s="973"/>
      <c r="HM65" s="978"/>
      <c r="HN65" s="978"/>
      <c r="HO65" s="966"/>
      <c r="HP65" s="966"/>
      <c r="HQ65" s="966"/>
      <c r="HR65" s="966"/>
      <c r="HS65" s="966"/>
      <c r="HT65" s="966"/>
      <c r="HU65" s="965"/>
      <c r="HV65" s="966"/>
      <c r="HW65" s="973"/>
      <c r="HX65" s="966"/>
      <c r="HY65" s="973"/>
      <c r="HZ65" s="978"/>
      <c r="IA65" s="978"/>
      <c r="IB65" s="966"/>
      <c r="IC65" s="966"/>
      <c r="ID65" s="966"/>
      <c r="IE65" s="966"/>
      <c r="IF65" s="966"/>
      <c r="IG65" s="966"/>
      <c r="IH65" s="965"/>
      <c r="II65" s="966"/>
      <c r="IJ65" s="973"/>
      <c r="IK65" s="966"/>
      <c r="IL65" s="973"/>
      <c r="IM65" s="978"/>
      <c r="IN65" s="978"/>
      <c r="IO65" s="966"/>
      <c r="IP65" s="966"/>
      <c r="IQ65" s="966"/>
      <c r="IR65" s="966"/>
      <c r="IS65" s="966"/>
      <c r="IT65" s="966"/>
      <c r="IU65" s="965"/>
      <c r="IV65" s="966"/>
      <c r="IW65" s="973"/>
      <c r="IX65" s="966"/>
      <c r="IY65" s="973"/>
      <c r="IZ65" s="978"/>
      <c r="JA65" s="978"/>
      <c r="JB65" s="966"/>
      <c r="JC65" s="966"/>
      <c r="JD65" s="966"/>
      <c r="JE65" s="966"/>
      <c r="JF65" s="966"/>
      <c r="JG65" s="966"/>
      <c r="JH65" s="965"/>
      <c r="JI65" s="966"/>
      <c r="JJ65" s="973"/>
      <c r="JK65" s="966"/>
      <c r="JL65" s="973"/>
      <c r="JM65" s="978"/>
      <c r="JN65" s="978"/>
      <c r="JO65" s="966"/>
      <c r="JP65" s="966"/>
      <c r="JQ65" s="966"/>
      <c r="JR65" s="966"/>
      <c r="JS65" s="966"/>
      <c r="JT65" s="966"/>
      <c r="JU65" s="965"/>
      <c r="JV65" s="966"/>
      <c r="JW65" s="973"/>
      <c r="JX65" s="966"/>
      <c r="JY65" s="973"/>
      <c r="JZ65" s="978"/>
      <c r="KA65" s="978"/>
      <c r="KB65" s="966"/>
      <c r="KC65" s="966"/>
      <c r="KD65" s="966"/>
      <c r="KE65" s="966"/>
      <c r="KF65" s="966"/>
      <c r="KG65" s="966"/>
      <c r="KH65" s="965"/>
      <c r="KI65" s="966"/>
      <c r="KJ65" s="973"/>
      <c r="KK65" s="966"/>
      <c r="KL65" s="973"/>
      <c r="KM65" s="978"/>
      <c r="KN65" s="978"/>
      <c r="KO65" s="966"/>
      <c r="KP65" s="966"/>
      <c r="KQ65" s="966"/>
      <c r="KR65" s="966"/>
      <c r="KS65" s="966"/>
      <c r="KT65" s="966"/>
      <c r="KU65" s="965"/>
      <c r="KV65" s="966"/>
      <c r="KW65" s="973"/>
      <c r="KX65" s="966"/>
      <c r="KY65" s="973"/>
      <c r="KZ65" s="978"/>
      <c r="LA65" s="978"/>
      <c r="LB65" s="966"/>
      <c r="LC65" s="966"/>
      <c r="LD65" s="966"/>
      <c r="LE65" s="966"/>
      <c r="LF65" s="966"/>
      <c r="LG65" s="966"/>
      <c r="LH65" s="965"/>
      <c r="LI65" s="966"/>
      <c r="LJ65" s="973"/>
      <c r="LK65" s="966"/>
      <c r="LL65" s="973"/>
      <c r="LM65" s="978"/>
      <c r="LN65" s="978"/>
      <c r="LO65" s="966"/>
      <c r="LP65" s="966"/>
      <c r="LQ65" s="966"/>
      <c r="LR65" s="966"/>
      <c r="LS65" s="966"/>
      <c r="LT65" s="966"/>
      <c r="LU65" s="965"/>
      <c r="LV65" s="966"/>
      <c r="LW65" s="973"/>
      <c r="LX65" s="966"/>
      <c r="LY65" s="973"/>
      <c r="LZ65" s="978"/>
      <c r="MA65" s="978"/>
      <c r="MB65" s="966"/>
      <c r="MC65" s="966"/>
      <c r="MD65" s="966"/>
      <c r="ME65" s="966"/>
      <c r="MF65" s="966"/>
      <c r="MG65" s="966"/>
    </row>
    <row r="66" spans="2:345">
      <c r="B66" s="196">
        <f>INDEX(Groups!$C$7:$C$65,MATCH(C66,Groups!$D$7:$D$65,0))</f>
        <v>31</v>
      </c>
      <c r="C66" s="197" t="str">
        <f>CalcI!$P$26</f>
        <v>Noorwegen</v>
      </c>
      <c r="D66" s="198">
        <f>INDEX(Groups!$C$7:$C$65,MATCH(E66,Groups!$D$7:$D$65,0))</f>
        <v>1</v>
      </c>
      <c r="E66" s="197" t="str">
        <f>CalcI!$Q$26</f>
        <v>Frankrijk</v>
      </c>
      <c r="F66" s="199" t="str">
        <f>CalcI!$R$26</f>
        <v/>
      </c>
      <c r="G66" s="200" t="str">
        <f>CalcI!$S$26</f>
        <v/>
      </c>
      <c r="I66" s="196">
        <f t="shared" si="18"/>
        <v>31</v>
      </c>
      <c r="J66" s="197" t="str">
        <f t="shared" si="35"/>
        <v>Noorwegen</v>
      </c>
      <c r="K66" s="198">
        <f t="shared" si="1"/>
        <v>1</v>
      </c>
      <c r="L66" s="197" t="str">
        <f t="shared" si="36"/>
        <v>Frankrijk</v>
      </c>
      <c r="M66" s="232"/>
      <c r="N66" s="232"/>
      <c r="O66" s="228"/>
      <c r="P66" s="198" t="str">
        <f t="shared" si="37"/>
        <v/>
      </c>
      <c r="Q66" s="198" t="str">
        <f>IF((P66&lt;&gt;""),IF(OR($F66&lt;&gt;$G66,PrSettings!$M$4="●"),(($F66-$G66)=(M66-N66))*1,0),"")</f>
        <v/>
      </c>
      <c r="R66" s="198" t="str">
        <f t="shared" si="38"/>
        <v/>
      </c>
      <c r="S66" s="198" t="str">
        <f>IF(P66&lt;&gt;"",IF(ABS($F66-$G66)&gt;=PrSettings!$M$7,(ABS($F66-$G66-M66+N66)&lt;=1)*1,IF(AND(P66,$F66=$G66,$F66&gt;=PrSettings!$M$6),(ABS(M66-$F66)&lt;=1)*1,IF(AND(P66,$F66+$G66&gt;=PrSettings!$M$8),(ABS(M66-$F66)+ABS(N66-$G66)&lt;=1)*1,""))),"")</f>
        <v/>
      </c>
      <c r="T66" s="989"/>
      <c r="U66" s="965"/>
      <c r="V66" s="966"/>
      <c r="W66" s="973"/>
      <c r="X66" s="966"/>
      <c r="Y66" s="973"/>
      <c r="Z66" s="978"/>
      <c r="AA66" s="978"/>
      <c r="AB66" s="966"/>
      <c r="AC66" s="966"/>
      <c r="AD66" s="966"/>
      <c r="AE66" s="966"/>
      <c r="AF66" s="966"/>
      <c r="AG66" s="966"/>
      <c r="AH66" s="965"/>
      <c r="AI66" s="966"/>
      <c r="AJ66" s="973"/>
      <c r="AK66" s="966"/>
      <c r="AL66" s="973"/>
      <c r="AM66" s="978"/>
      <c r="AN66" s="978"/>
      <c r="AO66" s="966"/>
      <c r="AP66" s="966"/>
      <c r="AQ66" s="966"/>
      <c r="AR66" s="966"/>
      <c r="AS66" s="966"/>
      <c r="AT66" s="966"/>
      <c r="AU66" s="965"/>
      <c r="AV66" s="966"/>
      <c r="AW66" s="973"/>
      <c r="AX66" s="966"/>
      <c r="AY66" s="973"/>
      <c r="AZ66" s="978"/>
      <c r="BA66" s="978"/>
      <c r="BB66" s="966"/>
      <c r="BC66" s="966"/>
      <c r="BD66" s="966"/>
      <c r="BE66" s="966"/>
      <c r="BF66" s="966"/>
      <c r="BG66" s="966"/>
      <c r="BH66" s="965"/>
      <c r="BI66" s="966"/>
      <c r="BJ66" s="973"/>
      <c r="BK66" s="966"/>
      <c r="BL66" s="973"/>
      <c r="BM66" s="978"/>
      <c r="BN66" s="978"/>
      <c r="BO66" s="966"/>
      <c r="BP66" s="966"/>
      <c r="BQ66" s="966"/>
      <c r="BR66" s="966"/>
      <c r="BS66" s="966"/>
      <c r="BT66" s="966"/>
      <c r="BU66" s="965"/>
      <c r="BV66" s="966"/>
      <c r="BW66" s="973"/>
      <c r="BX66" s="966"/>
      <c r="BY66" s="973"/>
      <c r="BZ66" s="978"/>
      <c r="CA66" s="978"/>
      <c r="CB66" s="966"/>
      <c r="CC66" s="966"/>
      <c r="CD66" s="966"/>
      <c r="CE66" s="966"/>
      <c r="CF66" s="966"/>
      <c r="CG66" s="966"/>
      <c r="CH66" s="965"/>
      <c r="CI66" s="966"/>
      <c r="CJ66" s="973"/>
      <c r="CK66" s="966"/>
      <c r="CL66" s="973"/>
      <c r="CM66" s="978"/>
      <c r="CN66" s="978"/>
      <c r="CO66" s="966"/>
      <c r="CP66" s="966"/>
      <c r="CQ66" s="966"/>
      <c r="CR66" s="966"/>
      <c r="CS66" s="966"/>
      <c r="CT66" s="966"/>
      <c r="CU66" s="965"/>
      <c r="CV66" s="966"/>
      <c r="CW66" s="973"/>
      <c r="CX66" s="966"/>
      <c r="CY66" s="973"/>
      <c r="CZ66" s="978"/>
      <c r="DA66" s="978"/>
      <c r="DB66" s="966"/>
      <c r="DC66" s="966"/>
      <c r="DD66" s="966"/>
      <c r="DE66" s="966"/>
      <c r="DF66" s="966"/>
      <c r="DG66" s="966"/>
      <c r="DH66" s="965"/>
      <c r="DI66" s="966"/>
      <c r="DJ66" s="973"/>
      <c r="DK66" s="966"/>
      <c r="DL66" s="973"/>
      <c r="DM66" s="978"/>
      <c r="DN66" s="978"/>
      <c r="DO66" s="966"/>
      <c r="DP66" s="966"/>
      <c r="DQ66" s="966"/>
      <c r="DR66" s="966"/>
      <c r="DS66" s="966"/>
      <c r="DT66" s="966"/>
      <c r="DU66" s="965"/>
      <c r="DV66" s="966"/>
      <c r="DW66" s="973"/>
      <c r="DX66" s="966"/>
      <c r="DY66" s="973"/>
      <c r="DZ66" s="978"/>
      <c r="EA66" s="978"/>
      <c r="EB66" s="966"/>
      <c r="EC66" s="966"/>
      <c r="ED66" s="966"/>
      <c r="EE66" s="966"/>
      <c r="EF66" s="966"/>
      <c r="EG66" s="966"/>
      <c r="EH66" s="965"/>
      <c r="EI66" s="966"/>
      <c r="EJ66" s="973"/>
      <c r="EK66" s="966"/>
      <c r="EL66" s="973"/>
      <c r="EM66" s="978"/>
      <c r="EN66" s="978"/>
      <c r="EO66" s="966"/>
      <c r="EP66" s="966"/>
      <c r="EQ66" s="966"/>
      <c r="ER66" s="966"/>
      <c r="ES66" s="966"/>
      <c r="ET66" s="966"/>
      <c r="EU66" s="965"/>
      <c r="EV66" s="966"/>
      <c r="EW66" s="973"/>
      <c r="EX66" s="966"/>
      <c r="EY66" s="973"/>
      <c r="EZ66" s="978"/>
      <c r="FA66" s="978"/>
      <c r="FB66" s="966"/>
      <c r="FC66" s="966"/>
      <c r="FD66" s="966"/>
      <c r="FE66" s="966"/>
      <c r="FF66" s="966"/>
      <c r="FG66" s="966"/>
      <c r="FH66" s="965"/>
      <c r="FI66" s="966"/>
      <c r="FJ66" s="973"/>
      <c r="FK66" s="966"/>
      <c r="FL66" s="973"/>
      <c r="FM66" s="978"/>
      <c r="FN66" s="978"/>
      <c r="FO66" s="966"/>
      <c r="FP66" s="966"/>
      <c r="FQ66" s="966"/>
      <c r="FR66" s="966"/>
      <c r="FS66" s="966"/>
      <c r="FT66" s="966"/>
      <c r="FU66" s="965"/>
      <c r="FV66" s="966"/>
      <c r="FW66" s="973"/>
      <c r="FX66" s="966"/>
      <c r="FY66" s="973"/>
      <c r="FZ66" s="978"/>
      <c r="GA66" s="978"/>
      <c r="GB66" s="966"/>
      <c r="GC66" s="966"/>
      <c r="GD66" s="966"/>
      <c r="GE66" s="966"/>
      <c r="GF66" s="966"/>
      <c r="GG66" s="966"/>
      <c r="GH66" s="965"/>
      <c r="GI66" s="966"/>
      <c r="GJ66" s="973"/>
      <c r="GK66" s="966"/>
      <c r="GL66" s="973"/>
      <c r="GM66" s="978"/>
      <c r="GN66" s="978"/>
      <c r="GO66" s="966"/>
      <c r="GP66" s="966"/>
      <c r="GQ66" s="966"/>
      <c r="GR66" s="966"/>
      <c r="GS66" s="966"/>
      <c r="GT66" s="966"/>
      <c r="GU66" s="965"/>
      <c r="GV66" s="966"/>
      <c r="GW66" s="973"/>
      <c r="GX66" s="966"/>
      <c r="GY66" s="973"/>
      <c r="GZ66" s="978"/>
      <c r="HA66" s="978"/>
      <c r="HB66" s="966"/>
      <c r="HC66" s="966"/>
      <c r="HD66" s="966"/>
      <c r="HE66" s="966"/>
      <c r="HF66" s="966"/>
      <c r="HG66" s="966"/>
      <c r="HH66" s="965"/>
      <c r="HI66" s="966"/>
      <c r="HJ66" s="973"/>
      <c r="HK66" s="966"/>
      <c r="HL66" s="973"/>
      <c r="HM66" s="978"/>
      <c r="HN66" s="978"/>
      <c r="HO66" s="966"/>
      <c r="HP66" s="966"/>
      <c r="HQ66" s="966"/>
      <c r="HR66" s="966"/>
      <c r="HS66" s="966"/>
      <c r="HT66" s="966"/>
      <c r="HU66" s="965"/>
      <c r="HV66" s="966"/>
      <c r="HW66" s="973"/>
      <c r="HX66" s="966"/>
      <c r="HY66" s="973"/>
      <c r="HZ66" s="978"/>
      <c r="IA66" s="978"/>
      <c r="IB66" s="966"/>
      <c r="IC66" s="966"/>
      <c r="ID66" s="966"/>
      <c r="IE66" s="966"/>
      <c r="IF66" s="966"/>
      <c r="IG66" s="966"/>
      <c r="IH66" s="965"/>
      <c r="II66" s="966"/>
      <c r="IJ66" s="973"/>
      <c r="IK66" s="966"/>
      <c r="IL66" s="973"/>
      <c r="IM66" s="978"/>
      <c r="IN66" s="978"/>
      <c r="IO66" s="966"/>
      <c r="IP66" s="966"/>
      <c r="IQ66" s="966"/>
      <c r="IR66" s="966"/>
      <c r="IS66" s="966"/>
      <c r="IT66" s="966"/>
      <c r="IU66" s="965"/>
      <c r="IV66" s="966"/>
      <c r="IW66" s="973"/>
      <c r="IX66" s="966"/>
      <c r="IY66" s="973"/>
      <c r="IZ66" s="978"/>
      <c r="JA66" s="978"/>
      <c r="JB66" s="966"/>
      <c r="JC66" s="966"/>
      <c r="JD66" s="966"/>
      <c r="JE66" s="966"/>
      <c r="JF66" s="966"/>
      <c r="JG66" s="966"/>
      <c r="JH66" s="965"/>
      <c r="JI66" s="966"/>
      <c r="JJ66" s="973"/>
      <c r="JK66" s="966"/>
      <c r="JL66" s="973"/>
      <c r="JM66" s="978"/>
      <c r="JN66" s="978"/>
      <c r="JO66" s="966"/>
      <c r="JP66" s="966"/>
      <c r="JQ66" s="966"/>
      <c r="JR66" s="966"/>
      <c r="JS66" s="966"/>
      <c r="JT66" s="966"/>
      <c r="JU66" s="965"/>
      <c r="JV66" s="966"/>
      <c r="JW66" s="973"/>
      <c r="JX66" s="966"/>
      <c r="JY66" s="973"/>
      <c r="JZ66" s="978"/>
      <c r="KA66" s="978"/>
      <c r="KB66" s="966"/>
      <c r="KC66" s="966"/>
      <c r="KD66" s="966"/>
      <c r="KE66" s="966"/>
      <c r="KF66" s="966"/>
      <c r="KG66" s="966"/>
      <c r="KH66" s="965"/>
      <c r="KI66" s="966"/>
      <c r="KJ66" s="973"/>
      <c r="KK66" s="966"/>
      <c r="KL66" s="973"/>
      <c r="KM66" s="978"/>
      <c r="KN66" s="978"/>
      <c r="KO66" s="966"/>
      <c r="KP66" s="966"/>
      <c r="KQ66" s="966"/>
      <c r="KR66" s="966"/>
      <c r="KS66" s="966"/>
      <c r="KT66" s="966"/>
      <c r="KU66" s="965"/>
      <c r="KV66" s="966"/>
      <c r="KW66" s="973"/>
      <c r="KX66" s="966"/>
      <c r="KY66" s="973"/>
      <c r="KZ66" s="978"/>
      <c r="LA66" s="978"/>
      <c r="LB66" s="966"/>
      <c r="LC66" s="966"/>
      <c r="LD66" s="966"/>
      <c r="LE66" s="966"/>
      <c r="LF66" s="966"/>
      <c r="LG66" s="966"/>
      <c r="LH66" s="965"/>
      <c r="LI66" s="966"/>
      <c r="LJ66" s="973"/>
      <c r="LK66" s="966"/>
      <c r="LL66" s="973"/>
      <c r="LM66" s="978"/>
      <c r="LN66" s="978"/>
      <c r="LO66" s="966"/>
      <c r="LP66" s="966"/>
      <c r="LQ66" s="966"/>
      <c r="LR66" s="966"/>
      <c r="LS66" s="966"/>
      <c r="LT66" s="966"/>
      <c r="LU66" s="965"/>
      <c r="LV66" s="966"/>
      <c r="LW66" s="973"/>
      <c r="LX66" s="966"/>
      <c r="LY66" s="973"/>
      <c r="LZ66" s="978"/>
      <c r="MA66" s="978"/>
      <c r="MB66" s="966"/>
      <c r="MC66" s="966"/>
      <c r="MD66" s="966"/>
      <c r="ME66" s="966"/>
      <c r="MF66" s="966"/>
      <c r="MG66" s="966"/>
    </row>
    <row r="67" spans="2:345">
      <c r="B67" s="196">
        <f>INDEX(Groups!$C$7:$C$65,MATCH(C67,Groups!$D$7:$D$65,0))</f>
        <v>14</v>
      </c>
      <c r="C67" s="197" t="str">
        <f>CalcI!$P$27</f>
        <v>Senegal</v>
      </c>
      <c r="D67" s="198">
        <f>INDEX(Groups!$C$7:$C$65,MATCH(E67,Groups!$D$7:$D$65,0))</f>
        <v>57</v>
      </c>
      <c r="E67" s="197" t="str">
        <f>CalcI!$Q$27</f>
        <v>Irak</v>
      </c>
      <c r="F67" s="199" t="str">
        <f>CalcI!$R$27</f>
        <v/>
      </c>
      <c r="G67" s="200" t="str">
        <f>CalcI!$S$27</f>
        <v/>
      </c>
      <c r="I67" s="196">
        <f t="shared" si="18"/>
        <v>14</v>
      </c>
      <c r="J67" s="197" t="str">
        <f t="shared" si="35"/>
        <v>Senegal</v>
      </c>
      <c r="K67" s="198">
        <f t="shared" si="1"/>
        <v>57</v>
      </c>
      <c r="L67" s="197" t="str">
        <f t="shared" si="36"/>
        <v>Irak</v>
      </c>
      <c r="M67" s="232"/>
      <c r="N67" s="232"/>
      <c r="O67" s="473"/>
      <c r="P67" s="198" t="str">
        <f t="shared" si="37"/>
        <v/>
      </c>
      <c r="Q67" s="198" t="str">
        <f>IF((P67&lt;&gt;""),IF(OR($F67&lt;&gt;$G67,PrSettings!$M$4="●"),(($F67-$G67)=(M67-N67))*1,0),"")</f>
        <v/>
      </c>
      <c r="R67" s="198" t="str">
        <f t="shared" si="38"/>
        <v/>
      </c>
      <c r="S67" s="198" t="str">
        <f>IF(P67&lt;&gt;"",IF(ABS($F67-$G67)&gt;=PrSettings!$M$7,(ABS($F67-$G67-M67+N67)&lt;=1)*1,IF(AND(P67,$F67=$G67,$F67&gt;=PrSettings!$M$6),(ABS(M67-$F67)&lt;=1)*1,IF(AND(P67,$F67+$G67&gt;=PrSettings!$M$8),(ABS(M67-$F67)+ABS(N67-$G67)&lt;=1)*1,""))),"")</f>
        <v/>
      </c>
      <c r="T67" s="990"/>
      <c r="U67" s="965"/>
      <c r="V67" s="966"/>
      <c r="W67" s="973"/>
      <c r="X67" s="966"/>
      <c r="Y67" s="973"/>
      <c r="Z67" s="978"/>
      <c r="AA67" s="978"/>
      <c r="AB67" s="966"/>
      <c r="AC67" s="966"/>
      <c r="AD67" s="966"/>
      <c r="AE67" s="966"/>
      <c r="AF67" s="966"/>
      <c r="AG67" s="966"/>
      <c r="AH67" s="965"/>
      <c r="AI67" s="966"/>
      <c r="AJ67" s="973"/>
      <c r="AK67" s="966"/>
      <c r="AL67" s="973"/>
      <c r="AM67" s="978"/>
      <c r="AN67" s="978"/>
      <c r="AO67" s="966"/>
      <c r="AP67" s="966"/>
      <c r="AQ67" s="966"/>
      <c r="AR67" s="966"/>
      <c r="AS67" s="966"/>
      <c r="AT67" s="966"/>
      <c r="AU67" s="965"/>
      <c r="AV67" s="966"/>
      <c r="AW67" s="973"/>
      <c r="AX67" s="966"/>
      <c r="AY67" s="973"/>
      <c r="AZ67" s="978"/>
      <c r="BA67" s="978"/>
      <c r="BB67" s="966"/>
      <c r="BC67" s="966"/>
      <c r="BD67" s="966"/>
      <c r="BE67" s="966"/>
      <c r="BF67" s="966"/>
      <c r="BG67" s="966"/>
      <c r="BH67" s="965"/>
      <c r="BI67" s="966"/>
      <c r="BJ67" s="973"/>
      <c r="BK67" s="966"/>
      <c r="BL67" s="973"/>
      <c r="BM67" s="978"/>
      <c r="BN67" s="978"/>
      <c r="BO67" s="966"/>
      <c r="BP67" s="966"/>
      <c r="BQ67" s="966"/>
      <c r="BR67" s="966"/>
      <c r="BS67" s="966"/>
      <c r="BT67" s="966"/>
      <c r="BU67" s="965"/>
      <c r="BV67" s="966"/>
      <c r="BW67" s="973"/>
      <c r="BX67" s="966"/>
      <c r="BY67" s="973"/>
      <c r="BZ67" s="978"/>
      <c r="CA67" s="978"/>
      <c r="CB67" s="966"/>
      <c r="CC67" s="966"/>
      <c r="CD67" s="966"/>
      <c r="CE67" s="966"/>
      <c r="CF67" s="966"/>
      <c r="CG67" s="966"/>
      <c r="CH67" s="965"/>
      <c r="CI67" s="966"/>
      <c r="CJ67" s="973"/>
      <c r="CK67" s="966"/>
      <c r="CL67" s="973"/>
      <c r="CM67" s="978"/>
      <c r="CN67" s="978"/>
      <c r="CO67" s="966"/>
      <c r="CP67" s="966"/>
      <c r="CQ67" s="966"/>
      <c r="CR67" s="966"/>
      <c r="CS67" s="966"/>
      <c r="CT67" s="966"/>
      <c r="CU67" s="965"/>
      <c r="CV67" s="966"/>
      <c r="CW67" s="973"/>
      <c r="CX67" s="966"/>
      <c r="CY67" s="973"/>
      <c r="CZ67" s="978"/>
      <c r="DA67" s="978"/>
      <c r="DB67" s="966"/>
      <c r="DC67" s="966"/>
      <c r="DD67" s="966"/>
      <c r="DE67" s="966"/>
      <c r="DF67" s="966"/>
      <c r="DG67" s="966"/>
      <c r="DH67" s="965"/>
      <c r="DI67" s="966"/>
      <c r="DJ67" s="973"/>
      <c r="DK67" s="966"/>
      <c r="DL67" s="973"/>
      <c r="DM67" s="978"/>
      <c r="DN67" s="978"/>
      <c r="DO67" s="966"/>
      <c r="DP67" s="966"/>
      <c r="DQ67" s="966"/>
      <c r="DR67" s="966"/>
      <c r="DS67" s="966"/>
      <c r="DT67" s="966"/>
      <c r="DU67" s="965"/>
      <c r="DV67" s="966"/>
      <c r="DW67" s="973"/>
      <c r="DX67" s="966"/>
      <c r="DY67" s="973"/>
      <c r="DZ67" s="978"/>
      <c r="EA67" s="978"/>
      <c r="EB67" s="966"/>
      <c r="EC67" s="966"/>
      <c r="ED67" s="966"/>
      <c r="EE67" s="966"/>
      <c r="EF67" s="966"/>
      <c r="EG67" s="966"/>
      <c r="EH67" s="965"/>
      <c r="EI67" s="966"/>
      <c r="EJ67" s="973"/>
      <c r="EK67" s="966"/>
      <c r="EL67" s="973"/>
      <c r="EM67" s="978"/>
      <c r="EN67" s="978"/>
      <c r="EO67" s="966"/>
      <c r="EP67" s="966"/>
      <c r="EQ67" s="966"/>
      <c r="ER67" s="966"/>
      <c r="ES67" s="966"/>
      <c r="ET67" s="966"/>
      <c r="EU67" s="965"/>
      <c r="EV67" s="966"/>
      <c r="EW67" s="973"/>
      <c r="EX67" s="966"/>
      <c r="EY67" s="973"/>
      <c r="EZ67" s="978"/>
      <c r="FA67" s="978"/>
      <c r="FB67" s="966"/>
      <c r="FC67" s="966"/>
      <c r="FD67" s="966"/>
      <c r="FE67" s="966"/>
      <c r="FF67" s="966"/>
      <c r="FG67" s="966"/>
      <c r="FH67" s="965"/>
      <c r="FI67" s="966"/>
      <c r="FJ67" s="973"/>
      <c r="FK67" s="966"/>
      <c r="FL67" s="973"/>
      <c r="FM67" s="978"/>
      <c r="FN67" s="978"/>
      <c r="FO67" s="966"/>
      <c r="FP67" s="966"/>
      <c r="FQ67" s="966"/>
      <c r="FR67" s="966"/>
      <c r="FS67" s="966"/>
      <c r="FT67" s="966"/>
      <c r="FU67" s="965"/>
      <c r="FV67" s="966"/>
      <c r="FW67" s="973"/>
      <c r="FX67" s="966"/>
      <c r="FY67" s="973"/>
      <c r="FZ67" s="978"/>
      <c r="GA67" s="978"/>
      <c r="GB67" s="966"/>
      <c r="GC67" s="966"/>
      <c r="GD67" s="966"/>
      <c r="GE67" s="966"/>
      <c r="GF67" s="966"/>
      <c r="GG67" s="966"/>
      <c r="GH67" s="965"/>
      <c r="GI67" s="966"/>
      <c r="GJ67" s="973"/>
      <c r="GK67" s="966"/>
      <c r="GL67" s="973"/>
      <c r="GM67" s="978"/>
      <c r="GN67" s="978"/>
      <c r="GO67" s="966"/>
      <c r="GP67" s="966"/>
      <c r="GQ67" s="966"/>
      <c r="GR67" s="966"/>
      <c r="GS67" s="966"/>
      <c r="GT67" s="966"/>
      <c r="GU67" s="965"/>
      <c r="GV67" s="966"/>
      <c r="GW67" s="973"/>
      <c r="GX67" s="966"/>
      <c r="GY67" s="973"/>
      <c r="GZ67" s="978"/>
      <c r="HA67" s="978"/>
      <c r="HB67" s="966"/>
      <c r="HC67" s="966"/>
      <c r="HD67" s="966"/>
      <c r="HE67" s="966"/>
      <c r="HF67" s="966"/>
      <c r="HG67" s="966"/>
      <c r="HH67" s="965"/>
      <c r="HI67" s="966"/>
      <c r="HJ67" s="973"/>
      <c r="HK67" s="966"/>
      <c r="HL67" s="973"/>
      <c r="HM67" s="978"/>
      <c r="HN67" s="978"/>
      <c r="HO67" s="966"/>
      <c r="HP67" s="966"/>
      <c r="HQ67" s="966"/>
      <c r="HR67" s="966"/>
      <c r="HS67" s="966"/>
      <c r="HT67" s="966"/>
      <c r="HU67" s="965"/>
      <c r="HV67" s="966"/>
      <c r="HW67" s="973"/>
      <c r="HX67" s="966"/>
      <c r="HY67" s="973"/>
      <c r="HZ67" s="978"/>
      <c r="IA67" s="978"/>
      <c r="IB67" s="966"/>
      <c r="IC67" s="966"/>
      <c r="ID67" s="966"/>
      <c r="IE67" s="966"/>
      <c r="IF67" s="966"/>
      <c r="IG67" s="966"/>
      <c r="IH67" s="965"/>
      <c r="II67" s="966"/>
      <c r="IJ67" s="973"/>
      <c r="IK67" s="966"/>
      <c r="IL67" s="973"/>
      <c r="IM67" s="978"/>
      <c r="IN67" s="978"/>
      <c r="IO67" s="966"/>
      <c r="IP67" s="966"/>
      <c r="IQ67" s="966"/>
      <c r="IR67" s="966"/>
      <c r="IS67" s="966"/>
      <c r="IT67" s="966"/>
      <c r="IU67" s="965"/>
      <c r="IV67" s="966"/>
      <c r="IW67" s="973"/>
      <c r="IX67" s="966"/>
      <c r="IY67" s="973"/>
      <c r="IZ67" s="978"/>
      <c r="JA67" s="978"/>
      <c r="JB67" s="966"/>
      <c r="JC67" s="966"/>
      <c r="JD67" s="966"/>
      <c r="JE67" s="966"/>
      <c r="JF67" s="966"/>
      <c r="JG67" s="966"/>
      <c r="JH67" s="965"/>
      <c r="JI67" s="966"/>
      <c r="JJ67" s="973"/>
      <c r="JK67" s="966"/>
      <c r="JL67" s="973"/>
      <c r="JM67" s="978"/>
      <c r="JN67" s="978"/>
      <c r="JO67" s="966"/>
      <c r="JP67" s="966"/>
      <c r="JQ67" s="966"/>
      <c r="JR67" s="966"/>
      <c r="JS67" s="966"/>
      <c r="JT67" s="966"/>
      <c r="JU67" s="965"/>
      <c r="JV67" s="966"/>
      <c r="JW67" s="973"/>
      <c r="JX67" s="966"/>
      <c r="JY67" s="973"/>
      <c r="JZ67" s="978"/>
      <c r="KA67" s="978"/>
      <c r="KB67" s="966"/>
      <c r="KC67" s="966"/>
      <c r="KD67" s="966"/>
      <c r="KE67" s="966"/>
      <c r="KF67" s="966"/>
      <c r="KG67" s="966"/>
      <c r="KH67" s="965"/>
      <c r="KI67" s="966"/>
      <c r="KJ67" s="973"/>
      <c r="KK67" s="966"/>
      <c r="KL67" s="973"/>
      <c r="KM67" s="978"/>
      <c r="KN67" s="978"/>
      <c r="KO67" s="966"/>
      <c r="KP67" s="966"/>
      <c r="KQ67" s="966"/>
      <c r="KR67" s="966"/>
      <c r="KS67" s="966"/>
      <c r="KT67" s="966"/>
      <c r="KU67" s="965"/>
      <c r="KV67" s="966"/>
      <c r="KW67" s="973"/>
      <c r="KX67" s="966"/>
      <c r="KY67" s="973"/>
      <c r="KZ67" s="978"/>
      <c r="LA67" s="978"/>
      <c r="LB67" s="966"/>
      <c r="LC67" s="966"/>
      <c r="LD67" s="966"/>
      <c r="LE67" s="966"/>
      <c r="LF67" s="966"/>
      <c r="LG67" s="966"/>
      <c r="LH67" s="965"/>
      <c r="LI67" s="966"/>
      <c r="LJ67" s="973"/>
      <c r="LK67" s="966"/>
      <c r="LL67" s="973"/>
      <c r="LM67" s="978"/>
      <c r="LN67" s="978"/>
      <c r="LO67" s="966"/>
      <c r="LP67" s="966"/>
      <c r="LQ67" s="966"/>
      <c r="LR67" s="966"/>
      <c r="LS67" s="966"/>
      <c r="LT67" s="966"/>
      <c r="LU67" s="965"/>
      <c r="LV67" s="966"/>
      <c r="LW67" s="973"/>
      <c r="LX67" s="966"/>
      <c r="LY67" s="973"/>
      <c r="LZ67" s="978"/>
      <c r="MA67" s="978"/>
      <c r="MB67" s="966"/>
      <c r="MC67" s="966"/>
      <c r="MD67" s="966"/>
      <c r="ME67" s="966"/>
      <c r="MF67" s="966"/>
      <c r="MG67" s="966"/>
    </row>
    <row r="68" spans="2:345" ht="24" customHeight="1">
      <c r="B68" s="205" t="str">
        <f>Language!$E$130&amp;" J"</f>
        <v>Groep J</v>
      </c>
      <c r="C68" s="206"/>
      <c r="D68" s="211"/>
      <c r="E68" s="208"/>
      <c r="F68" s="212"/>
      <c r="G68" s="213"/>
      <c r="I68" s="205" t="str">
        <f t="shared" si="18"/>
        <v>Groep J</v>
      </c>
      <c r="J68" s="207"/>
      <c r="K68" s="211"/>
      <c r="L68" s="208"/>
      <c r="M68" s="236"/>
      <c r="N68" s="237"/>
      <c r="O68" s="209"/>
      <c r="P68" s="220"/>
      <c r="Q68" s="220"/>
      <c r="R68" s="208"/>
      <c r="S68" s="208"/>
      <c r="T68" s="987"/>
      <c r="U68" s="965"/>
      <c r="V68" s="972"/>
      <c r="W68" s="972"/>
      <c r="X68" s="966"/>
      <c r="Y68" s="973"/>
      <c r="Z68" s="974"/>
      <c r="AA68" s="975"/>
      <c r="AB68" s="976"/>
      <c r="AC68" s="977"/>
      <c r="AD68" s="977"/>
      <c r="AE68" s="973"/>
      <c r="AF68" s="973"/>
      <c r="AG68" s="973"/>
      <c r="AH68" s="965"/>
      <c r="AI68" s="972"/>
      <c r="AJ68" s="972"/>
      <c r="AK68" s="966"/>
      <c r="AL68" s="973"/>
      <c r="AM68" s="974"/>
      <c r="AN68" s="975"/>
      <c r="AO68" s="976"/>
      <c r="AP68" s="977"/>
      <c r="AQ68" s="977"/>
      <c r="AR68" s="973"/>
      <c r="AS68" s="973"/>
      <c r="AT68" s="973"/>
      <c r="AU68" s="965"/>
      <c r="AV68" s="972"/>
      <c r="AW68" s="972"/>
      <c r="AX68" s="966"/>
      <c r="AY68" s="973"/>
      <c r="AZ68" s="974"/>
      <c r="BA68" s="975"/>
      <c r="BB68" s="976"/>
      <c r="BC68" s="977"/>
      <c r="BD68" s="977"/>
      <c r="BE68" s="973"/>
      <c r="BF68" s="973"/>
      <c r="BG68" s="973"/>
      <c r="BH68" s="965"/>
      <c r="BI68" s="972"/>
      <c r="BJ68" s="972"/>
      <c r="BK68" s="966"/>
      <c r="BL68" s="973"/>
      <c r="BM68" s="974"/>
      <c r="BN68" s="975"/>
      <c r="BO68" s="976"/>
      <c r="BP68" s="977"/>
      <c r="BQ68" s="977"/>
      <c r="BR68" s="973"/>
      <c r="BS68" s="973"/>
      <c r="BT68" s="973"/>
      <c r="BU68" s="965"/>
      <c r="BV68" s="972"/>
      <c r="BW68" s="972"/>
      <c r="BX68" s="966"/>
      <c r="BY68" s="973"/>
      <c r="BZ68" s="974"/>
      <c r="CA68" s="975"/>
      <c r="CB68" s="976"/>
      <c r="CC68" s="977"/>
      <c r="CD68" s="977"/>
      <c r="CE68" s="973"/>
      <c r="CF68" s="973"/>
      <c r="CG68" s="973"/>
      <c r="CH68" s="965"/>
      <c r="CI68" s="972"/>
      <c r="CJ68" s="972"/>
      <c r="CK68" s="966"/>
      <c r="CL68" s="973"/>
      <c r="CM68" s="974"/>
      <c r="CN68" s="975"/>
      <c r="CO68" s="976"/>
      <c r="CP68" s="977"/>
      <c r="CQ68" s="977"/>
      <c r="CR68" s="973"/>
      <c r="CS68" s="973"/>
      <c r="CT68" s="973"/>
      <c r="CU68" s="965"/>
      <c r="CV68" s="972"/>
      <c r="CW68" s="972"/>
      <c r="CX68" s="966"/>
      <c r="CY68" s="973"/>
      <c r="CZ68" s="974"/>
      <c r="DA68" s="975"/>
      <c r="DB68" s="976"/>
      <c r="DC68" s="977"/>
      <c r="DD68" s="977"/>
      <c r="DE68" s="973"/>
      <c r="DF68" s="973"/>
      <c r="DG68" s="973"/>
      <c r="DH68" s="965"/>
      <c r="DI68" s="972"/>
      <c r="DJ68" s="972"/>
      <c r="DK68" s="966"/>
      <c r="DL68" s="973"/>
      <c r="DM68" s="974"/>
      <c r="DN68" s="975"/>
      <c r="DO68" s="976"/>
      <c r="DP68" s="977"/>
      <c r="DQ68" s="977"/>
      <c r="DR68" s="973"/>
      <c r="DS68" s="973"/>
      <c r="DT68" s="973"/>
      <c r="DU68" s="965"/>
      <c r="DV68" s="972"/>
      <c r="DW68" s="972"/>
      <c r="DX68" s="966"/>
      <c r="DY68" s="973"/>
      <c r="DZ68" s="974"/>
      <c r="EA68" s="975"/>
      <c r="EB68" s="976"/>
      <c r="EC68" s="977"/>
      <c r="ED68" s="977"/>
      <c r="EE68" s="973"/>
      <c r="EF68" s="973"/>
      <c r="EG68" s="973"/>
      <c r="EH68" s="965"/>
      <c r="EI68" s="972"/>
      <c r="EJ68" s="972"/>
      <c r="EK68" s="966"/>
      <c r="EL68" s="973"/>
      <c r="EM68" s="974"/>
      <c r="EN68" s="975"/>
      <c r="EO68" s="976"/>
      <c r="EP68" s="977"/>
      <c r="EQ68" s="977"/>
      <c r="ER68" s="973"/>
      <c r="ES68" s="973"/>
      <c r="ET68" s="973"/>
      <c r="EU68" s="965"/>
      <c r="EV68" s="972"/>
      <c r="EW68" s="972"/>
      <c r="EX68" s="966"/>
      <c r="EY68" s="973"/>
      <c r="EZ68" s="974"/>
      <c r="FA68" s="975"/>
      <c r="FB68" s="976"/>
      <c r="FC68" s="977"/>
      <c r="FD68" s="977"/>
      <c r="FE68" s="973"/>
      <c r="FF68" s="973"/>
      <c r="FG68" s="973"/>
      <c r="FH68" s="965"/>
      <c r="FI68" s="972"/>
      <c r="FJ68" s="972"/>
      <c r="FK68" s="966"/>
      <c r="FL68" s="973"/>
      <c r="FM68" s="974"/>
      <c r="FN68" s="975"/>
      <c r="FO68" s="976"/>
      <c r="FP68" s="977"/>
      <c r="FQ68" s="977"/>
      <c r="FR68" s="973"/>
      <c r="FS68" s="973"/>
      <c r="FT68" s="973"/>
      <c r="FU68" s="965"/>
      <c r="FV68" s="972"/>
      <c r="FW68" s="972"/>
      <c r="FX68" s="966"/>
      <c r="FY68" s="973"/>
      <c r="FZ68" s="974"/>
      <c r="GA68" s="975"/>
      <c r="GB68" s="976"/>
      <c r="GC68" s="977"/>
      <c r="GD68" s="977"/>
      <c r="GE68" s="973"/>
      <c r="GF68" s="973"/>
      <c r="GG68" s="973"/>
      <c r="GH68" s="965"/>
      <c r="GI68" s="972"/>
      <c r="GJ68" s="972"/>
      <c r="GK68" s="966"/>
      <c r="GL68" s="973"/>
      <c r="GM68" s="974"/>
      <c r="GN68" s="975"/>
      <c r="GO68" s="976"/>
      <c r="GP68" s="977"/>
      <c r="GQ68" s="977"/>
      <c r="GR68" s="973"/>
      <c r="GS68" s="973"/>
      <c r="GT68" s="973"/>
      <c r="GU68" s="965"/>
      <c r="GV68" s="972"/>
      <c r="GW68" s="972"/>
      <c r="GX68" s="966"/>
      <c r="GY68" s="973"/>
      <c r="GZ68" s="974"/>
      <c r="HA68" s="975"/>
      <c r="HB68" s="976"/>
      <c r="HC68" s="977"/>
      <c r="HD68" s="977"/>
      <c r="HE68" s="973"/>
      <c r="HF68" s="973"/>
      <c r="HG68" s="973"/>
      <c r="HH68" s="965"/>
      <c r="HI68" s="972"/>
      <c r="HJ68" s="972"/>
      <c r="HK68" s="966"/>
      <c r="HL68" s="973"/>
      <c r="HM68" s="974"/>
      <c r="HN68" s="975"/>
      <c r="HO68" s="976"/>
      <c r="HP68" s="977"/>
      <c r="HQ68" s="977"/>
      <c r="HR68" s="973"/>
      <c r="HS68" s="973"/>
      <c r="HT68" s="973"/>
      <c r="HU68" s="965"/>
      <c r="HV68" s="972"/>
      <c r="HW68" s="972"/>
      <c r="HX68" s="966"/>
      <c r="HY68" s="973"/>
      <c r="HZ68" s="974"/>
      <c r="IA68" s="975"/>
      <c r="IB68" s="976"/>
      <c r="IC68" s="977"/>
      <c r="ID68" s="977"/>
      <c r="IE68" s="973"/>
      <c r="IF68" s="973"/>
      <c r="IG68" s="973"/>
      <c r="IH68" s="965"/>
      <c r="II68" s="972"/>
      <c r="IJ68" s="972"/>
      <c r="IK68" s="966"/>
      <c r="IL68" s="973"/>
      <c r="IM68" s="974"/>
      <c r="IN68" s="975"/>
      <c r="IO68" s="976"/>
      <c r="IP68" s="977"/>
      <c r="IQ68" s="977"/>
      <c r="IR68" s="973"/>
      <c r="IS68" s="973"/>
      <c r="IT68" s="973"/>
      <c r="IU68" s="965"/>
      <c r="IV68" s="972"/>
      <c r="IW68" s="972"/>
      <c r="IX68" s="966"/>
      <c r="IY68" s="973"/>
      <c r="IZ68" s="974"/>
      <c r="JA68" s="975"/>
      <c r="JB68" s="976"/>
      <c r="JC68" s="977"/>
      <c r="JD68" s="977"/>
      <c r="JE68" s="973"/>
      <c r="JF68" s="973"/>
      <c r="JG68" s="973"/>
      <c r="JH68" s="965"/>
      <c r="JI68" s="972"/>
      <c r="JJ68" s="972"/>
      <c r="JK68" s="966"/>
      <c r="JL68" s="973"/>
      <c r="JM68" s="974"/>
      <c r="JN68" s="975"/>
      <c r="JO68" s="976"/>
      <c r="JP68" s="977"/>
      <c r="JQ68" s="977"/>
      <c r="JR68" s="973"/>
      <c r="JS68" s="973"/>
      <c r="JT68" s="973"/>
      <c r="JU68" s="965"/>
      <c r="JV68" s="972"/>
      <c r="JW68" s="972"/>
      <c r="JX68" s="966"/>
      <c r="JY68" s="973"/>
      <c r="JZ68" s="974"/>
      <c r="KA68" s="975"/>
      <c r="KB68" s="976"/>
      <c r="KC68" s="977"/>
      <c r="KD68" s="977"/>
      <c r="KE68" s="973"/>
      <c r="KF68" s="973"/>
      <c r="KG68" s="973"/>
      <c r="KH68" s="965"/>
      <c r="KI68" s="972"/>
      <c r="KJ68" s="972"/>
      <c r="KK68" s="966"/>
      <c r="KL68" s="973"/>
      <c r="KM68" s="974"/>
      <c r="KN68" s="975"/>
      <c r="KO68" s="976"/>
      <c r="KP68" s="977"/>
      <c r="KQ68" s="977"/>
      <c r="KR68" s="973"/>
      <c r="KS68" s="973"/>
      <c r="KT68" s="973"/>
      <c r="KU68" s="965"/>
      <c r="KV68" s="972"/>
      <c r="KW68" s="972"/>
      <c r="KX68" s="966"/>
      <c r="KY68" s="973"/>
      <c r="KZ68" s="974"/>
      <c r="LA68" s="975"/>
      <c r="LB68" s="976"/>
      <c r="LC68" s="977"/>
      <c r="LD68" s="977"/>
      <c r="LE68" s="973"/>
      <c r="LF68" s="973"/>
      <c r="LG68" s="973"/>
      <c r="LH68" s="965"/>
      <c r="LI68" s="972"/>
      <c r="LJ68" s="972"/>
      <c r="LK68" s="966"/>
      <c r="LL68" s="973"/>
      <c r="LM68" s="974"/>
      <c r="LN68" s="975"/>
      <c r="LO68" s="976"/>
      <c r="LP68" s="977"/>
      <c r="LQ68" s="977"/>
      <c r="LR68" s="973"/>
      <c r="LS68" s="973"/>
      <c r="LT68" s="973"/>
      <c r="LU68" s="965"/>
      <c r="LV68" s="972"/>
      <c r="LW68" s="972"/>
      <c r="LX68" s="966"/>
      <c r="LY68" s="973"/>
      <c r="LZ68" s="974"/>
      <c r="MA68" s="975"/>
      <c r="MB68" s="976"/>
      <c r="MC68" s="977"/>
      <c r="MD68" s="977"/>
      <c r="ME68" s="973"/>
      <c r="MF68" s="973"/>
      <c r="MG68" s="973"/>
    </row>
    <row r="69" spans="2:345">
      <c r="B69" s="196">
        <f>INDEX(Groups!$C$7:$C$65,MATCH(C69,Groups!$D$7:$D$65,0))</f>
        <v>3</v>
      </c>
      <c r="C69" s="197" t="str">
        <f>CalcJ!$P$22</f>
        <v>Argentinië</v>
      </c>
      <c r="D69" s="198">
        <f>INDEX(Groups!$C$7:$C$65,MATCH(E69,Groups!$D$7:$D$65,0))</f>
        <v>28</v>
      </c>
      <c r="E69" s="197" t="str">
        <f>CalcJ!$Q$22</f>
        <v>Algerije</v>
      </c>
      <c r="F69" s="199" t="str">
        <f>CalcJ!$R$22</f>
        <v/>
      </c>
      <c r="G69" s="200" t="str">
        <f>CalcJ!$S$22</f>
        <v/>
      </c>
      <c r="I69" s="196">
        <f t="shared" si="18"/>
        <v>3</v>
      </c>
      <c r="J69" s="197" t="str">
        <f t="shared" ref="J69:J74" si="39">$C69</f>
        <v>Argentinië</v>
      </c>
      <c r="K69" s="198">
        <f t="shared" si="1"/>
        <v>28</v>
      </c>
      <c r="L69" s="197" t="str">
        <f t="shared" ref="L69:L74" si="40">$E69</f>
        <v>Algerije</v>
      </c>
      <c r="M69" s="232"/>
      <c r="N69" s="232"/>
      <c r="O69" s="227"/>
      <c r="P69" s="198" t="str">
        <f t="shared" ref="P69:P74" si="41">IF(($F69&lt;&gt;"")*($G69&lt;&gt;"")*(M69&lt;&gt;"")*(N69&lt;&gt;""),($F69&gt;$G69)*(M69&gt;N69)+($F69=$G69)*(M69=N69)+($F69&lt;$G69)*(M69&lt;N69),"")</f>
        <v/>
      </c>
      <c r="Q69" s="198" t="str">
        <f>IF((P69&lt;&gt;""),IF(OR($F69&lt;&gt;$G69,PrSettings!$M$4="●"),(($F69-$G69)=(M69-N69))*1,0),"")</f>
        <v/>
      </c>
      <c r="R69" s="198" t="str">
        <f t="shared" ref="R69:R74" si="42">IF((P69&lt;&gt;""),($F69=M69)*($G69=N69),"")</f>
        <v/>
      </c>
      <c r="S69" s="198" t="str">
        <f>IF(P69&lt;&gt;"",IF(ABS($F69-$G69)&gt;=PrSettings!$M$7,(ABS($F69-$G69-M69+N69)&lt;=1)*1,IF(AND(P69,$F69=$G69,$F69&gt;=PrSettings!$M$6),(ABS(M69-$F69)&lt;=1)*1,IF(AND(P69,$F69+$G69&gt;=PrSettings!$M$8),(ABS(M69-$F69)+ABS(N69-$G69)&lt;=1)*1,""))),"")</f>
        <v/>
      </c>
      <c r="T69" s="988"/>
      <c r="U69" s="965"/>
      <c r="V69" s="966"/>
      <c r="W69" s="973"/>
      <c r="X69" s="966"/>
      <c r="Y69" s="973"/>
      <c r="Z69" s="978"/>
      <c r="AA69" s="978"/>
      <c r="AB69" s="966"/>
      <c r="AC69" s="966"/>
      <c r="AD69" s="966"/>
      <c r="AE69" s="966"/>
      <c r="AF69" s="966"/>
      <c r="AG69" s="966"/>
      <c r="AH69" s="965"/>
      <c r="AI69" s="966"/>
      <c r="AJ69" s="973"/>
      <c r="AK69" s="966"/>
      <c r="AL69" s="973"/>
      <c r="AM69" s="978"/>
      <c r="AN69" s="978"/>
      <c r="AO69" s="966"/>
      <c r="AP69" s="966"/>
      <c r="AQ69" s="966"/>
      <c r="AR69" s="966"/>
      <c r="AS69" s="966"/>
      <c r="AT69" s="966"/>
      <c r="AU69" s="965"/>
      <c r="AV69" s="966"/>
      <c r="AW69" s="973"/>
      <c r="AX69" s="966"/>
      <c r="AY69" s="973"/>
      <c r="AZ69" s="978"/>
      <c r="BA69" s="978"/>
      <c r="BB69" s="966"/>
      <c r="BC69" s="966"/>
      <c r="BD69" s="966"/>
      <c r="BE69" s="966"/>
      <c r="BF69" s="966"/>
      <c r="BG69" s="966"/>
      <c r="BH69" s="965"/>
      <c r="BI69" s="966"/>
      <c r="BJ69" s="973"/>
      <c r="BK69" s="966"/>
      <c r="BL69" s="973"/>
      <c r="BM69" s="978"/>
      <c r="BN69" s="978"/>
      <c r="BO69" s="966"/>
      <c r="BP69" s="966"/>
      <c r="BQ69" s="966"/>
      <c r="BR69" s="966"/>
      <c r="BS69" s="966"/>
      <c r="BT69" s="966"/>
      <c r="BU69" s="965"/>
      <c r="BV69" s="966"/>
      <c r="BW69" s="973"/>
      <c r="BX69" s="966"/>
      <c r="BY69" s="973"/>
      <c r="BZ69" s="978"/>
      <c r="CA69" s="978"/>
      <c r="CB69" s="966"/>
      <c r="CC69" s="966"/>
      <c r="CD69" s="966"/>
      <c r="CE69" s="966"/>
      <c r="CF69" s="966"/>
      <c r="CG69" s="966"/>
      <c r="CH69" s="965"/>
      <c r="CI69" s="966"/>
      <c r="CJ69" s="973"/>
      <c r="CK69" s="966"/>
      <c r="CL69" s="973"/>
      <c r="CM69" s="978"/>
      <c r="CN69" s="978"/>
      <c r="CO69" s="966"/>
      <c r="CP69" s="966"/>
      <c r="CQ69" s="966"/>
      <c r="CR69" s="966"/>
      <c r="CS69" s="966"/>
      <c r="CT69" s="966"/>
      <c r="CU69" s="965"/>
      <c r="CV69" s="966"/>
      <c r="CW69" s="973"/>
      <c r="CX69" s="966"/>
      <c r="CY69" s="973"/>
      <c r="CZ69" s="978"/>
      <c r="DA69" s="978"/>
      <c r="DB69" s="966"/>
      <c r="DC69" s="966"/>
      <c r="DD69" s="966"/>
      <c r="DE69" s="966"/>
      <c r="DF69" s="966"/>
      <c r="DG69" s="966"/>
      <c r="DH69" s="965"/>
      <c r="DI69" s="966"/>
      <c r="DJ69" s="973"/>
      <c r="DK69" s="966"/>
      <c r="DL69" s="973"/>
      <c r="DM69" s="978"/>
      <c r="DN69" s="978"/>
      <c r="DO69" s="966"/>
      <c r="DP69" s="966"/>
      <c r="DQ69" s="966"/>
      <c r="DR69" s="966"/>
      <c r="DS69" s="966"/>
      <c r="DT69" s="966"/>
      <c r="DU69" s="965"/>
      <c r="DV69" s="966"/>
      <c r="DW69" s="973"/>
      <c r="DX69" s="966"/>
      <c r="DY69" s="973"/>
      <c r="DZ69" s="978"/>
      <c r="EA69" s="978"/>
      <c r="EB69" s="966"/>
      <c r="EC69" s="966"/>
      <c r="ED69" s="966"/>
      <c r="EE69" s="966"/>
      <c r="EF69" s="966"/>
      <c r="EG69" s="966"/>
      <c r="EH69" s="965"/>
      <c r="EI69" s="966"/>
      <c r="EJ69" s="973"/>
      <c r="EK69" s="966"/>
      <c r="EL69" s="973"/>
      <c r="EM69" s="978"/>
      <c r="EN69" s="978"/>
      <c r="EO69" s="966"/>
      <c r="EP69" s="966"/>
      <c r="EQ69" s="966"/>
      <c r="ER69" s="966"/>
      <c r="ES69" s="966"/>
      <c r="ET69" s="966"/>
      <c r="EU69" s="965"/>
      <c r="EV69" s="966"/>
      <c r="EW69" s="973"/>
      <c r="EX69" s="966"/>
      <c r="EY69" s="973"/>
      <c r="EZ69" s="978"/>
      <c r="FA69" s="978"/>
      <c r="FB69" s="966"/>
      <c r="FC69" s="966"/>
      <c r="FD69" s="966"/>
      <c r="FE69" s="966"/>
      <c r="FF69" s="966"/>
      <c r="FG69" s="966"/>
      <c r="FH69" s="965"/>
      <c r="FI69" s="966"/>
      <c r="FJ69" s="973"/>
      <c r="FK69" s="966"/>
      <c r="FL69" s="973"/>
      <c r="FM69" s="978"/>
      <c r="FN69" s="978"/>
      <c r="FO69" s="966"/>
      <c r="FP69" s="966"/>
      <c r="FQ69" s="966"/>
      <c r="FR69" s="966"/>
      <c r="FS69" s="966"/>
      <c r="FT69" s="966"/>
      <c r="FU69" s="965"/>
      <c r="FV69" s="966"/>
      <c r="FW69" s="973"/>
      <c r="FX69" s="966"/>
      <c r="FY69" s="973"/>
      <c r="FZ69" s="978"/>
      <c r="GA69" s="978"/>
      <c r="GB69" s="966"/>
      <c r="GC69" s="966"/>
      <c r="GD69" s="966"/>
      <c r="GE69" s="966"/>
      <c r="GF69" s="966"/>
      <c r="GG69" s="966"/>
      <c r="GH69" s="965"/>
      <c r="GI69" s="966"/>
      <c r="GJ69" s="973"/>
      <c r="GK69" s="966"/>
      <c r="GL69" s="973"/>
      <c r="GM69" s="978"/>
      <c r="GN69" s="978"/>
      <c r="GO69" s="966"/>
      <c r="GP69" s="966"/>
      <c r="GQ69" s="966"/>
      <c r="GR69" s="966"/>
      <c r="GS69" s="966"/>
      <c r="GT69" s="966"/>
      <c r="GU69" s="965"/>
      <c r="GV69" s="966"/>
      <c r="GW69" s="973"/>
      <c r="GX69" s="966"/>
      <c r="GY69" s="973"/>
      <c r="GZ69" s="978"/>
      <c r="HA69" s="978"/>
      <c r="HB69" s="966"/>
      <c r="HC69" s="966"/>
      <c r="HD69" s="966"/>
      <c r="HE69" s="966"/>
      <c r="HF69" s="966"/>
      <c r="HG69" s="966"/>
      <c r="HH69" s="965"/>
      <c r="HI69" s="966"/>
      <c r="HJ69" s="973"/>
      <c r="HK69" s="966"/>
      <c r="HL69" s="973"/>
      <c r="HM69" s="978"/>
      <c r="HN69" s="978"/>
      <c r="HO69" s="966"/>
      <c r="HP69" s="966"/>
      <c r="HQ69" s="966"/>
      <c r="HR69" s="966"/>
      <c r="HS69" s="966"/>
      <c r="HT69" s="966"/>
      <c r="HU69" s="965"/>
      <c r="HV69" s="966"/>
      <c r="HW69" s="973"/>
      <c r="HX69" s="966"/>
      <c r="HY69" s="973"/>
      <c r="HZ69" s="978"/>
      <c r="IA69" s="978"/>
      <c r="IB69" s="966"/>
      <c r="IC69" s="966"/>
      <c r="ID69" s="966"/>
      <c r="IE69" s="966"/>
      <c r="IF69" s="966"/>
      <c r="IG69" s="966"/>
      <c r="IH69" s="965"/>
      <c r="II69" s="966"/>
      <c r="IJ69" s="973"/>
      <c r="IK69" s="966"/>
      <c r="IL69" s="973"/>
      <c r="IM69" s="978"/>
      <c r="IN69" s="978"/>
      <c r="IO69" s="966"/>
      <c r="IP69" s="966"/>
      <c r="IQ69" s="966"/>
      <c r="IR69" s="966"/>
      <c r="IS69" s="966"/>
      <c r="IT69" s="966"/>
      <c r="IU69" s="965"/>
      <c r="IV69" s="966"/>
      <c r="IW69" s="973"/>
      <c r="IX69" s="966"/>
      <c r="IY69" s="973"/>
      <c r="IZ69" s="978"/>
      <c r="JA69" s="978"/>
      <c r="JB69" s="966"/>
      <c r="JC69" s="966"/>
      <c r="JD69" s="966"/>
      <c r="JE69" s="966"/>
      <c r="JF69" s="966"/>
      <c r="JG69" s="966"/>
      <c r="JH69" s="965"/>
      <c r="JI69" s="966"/>
      <c r="JJ69" s="973"/>
      <c r="JK69" s="966"/>
      <c r="JL69" s="973"/>
      <c r="JM69" s="978"/>
      <c r="JN69" s="978"/>
      <c r="JO69" s="966"/>
      <c r="JP69" s="966"/>
      <c r="JQ69" s="966"/>
      <c r="JR69" s="966"/>
      <c r="JS69" s="966"/>
      <c r="JT69" s="966"/>
      <c r="JU69" s="965"/>
      <c r="JV69" s="966"/>
      <c r="JW69" s="973"/>
      <c r="JX69" s="966"/>
      <c r="JY69" s="973"/>
      <c r="JZ69" s="978"/>
      <c r="KA69" s="978"/>
      <c r="KB69" s="966"/>
      <c r="KC69" s="966"/>
      <c r="KD69" s="966"/>
      <c r="KE69" s="966"/>
      <c r="KF69" s="966"/>
      <c r="KG69" s="966"/>
      <c r="KH69" s="965"/>
      <c r="KI69" s="966"/>
      <c r="KJ69" s="973"/>
      <c r="KK69" s="966"/>
      <c r="KL69" s="973"/>
      <c r="KM69" s="978"/>
      <c r="KN69" s="978"/>
      <c r="KO69" s="966"/>
      <c r="KP69" s="966"/>
      <c r="KQ69" s="966"/>
      <c r="KR69" s="966"/>
      <c r="KS69" s="966"/>
      <c r="KT69" s="966"/>
      <c r="KU69" s="965"/>
      <c r="KV69" s="966"/>
      <c r="KW69" s="973"/>
      <c r="KX69" s="966"/>
      <c r="KY69" s="973"/>
      <c r="KZ69" s="978"/>
      <c r="LA69" s="978"/>
      <c r="LB69" s="966"/>
      <c r="LC69" s="966"/>
      <c r="LD69" s="966"/>
      <c r="LE69" s="966"/>
      <c r="LF69" s="966"/>
      <c r="LG69" s="966"/>
      <c r="LH69" s="965"/>
      <c r="LI69" s="966"/>
      <c r="LJ69" s="973"/>
      <c r="LK69" s="966"/>
      <c r="LL69" s="973"/>
      <c r="LM69" s="978"/>
      <c r="LN69" s="978"/>
      <c r="LO69" s="966"/>
      <c r="LP69" s="966"/>
      <c r="LQ69" s="966"/>
      <c r="LR69" s="966"/>
      <c r="LS69" s="966"/>
      <c r="LT69" s="966"/>
      <c r="LU69" s="965"/>
      <c r="LV69" s="966"/>
      <c r="LW69" s="973"/>
      <c r="LX69" s="966"/>
      <c r="LY69" s="973"/>
      <c r="LZ69" s="978"/>
      <c r="MA69" s="978"/>
      <c r="MB69" s="966"/>
      <c r="MC69" s="966"/>
      <c r="MD69" s="966"/>
      <c r="ME69" s="966"/>
      <c r="MF69" s="966"/>
      <c r="MG69" s="966"/>
    </row>
    <row r="70" spans="2:345">
      <c r="B70" s="196">
        <f>INDEX(Groups!$C$7:$C$65,MATCH(C70,Groups!$D$7:$D$65,0))</f>
        <v>24</v>
      </c>
      <c r="C70" s="197" t="str">
        <f>CalcJ!$P$23</f>
        <v>Oostenrijk</v>
      </c>
      <c r="D70" s="198">
        <f>INDEX(Groups!$C$7:$C$65,MATCH(E70,Groups!$D$7:$D$65,0))</f>
        <v>63</v>
      </c>
      <c r="E70" s="197" t="str">
        <f>CalcJ!$Q$23</f>
        <v>Jordanië</v>
      </c>
      <c r="F70" s="725" t="str">
        <f>CalcJ!$R$23</f>
        <v/>
      </c>
      <c r="G70" s="200" t="str">
        <f>CalcJ!$S$23</f>
        <v/>
      </c>
      <c r="I70" s="196">
        <f t="shared" si="18"/>
        <v>24</v>
      </c>
      <c r="J70" s="197" t="str">
        <f t="shared" si="39"/>
        <v>Oostenrijk</v>
      </c>
      <c r="K70" s="198">
        <f t="shared" ref="K70:K74" si="43">$D70</f>
        <v>63</v>
      </c>
      <c r="L70" s="197" t="str">
        <f t="shared" si="40"/>
        <v>Jordanië</v>
      </c>
      <c r="M70" s="232"/>
      <c r="N70" s="232"/>
      <c r="O70" s="228"/>
      <c r="P70" s="198" t="str">
        <f t="shared" si="41"/>
        <v/>
      </c>
      <c r="Q70" s="198" t="str">
        <f>IF((P70&lt;&gt;""),IF(OR($F70&lt;&gt;$G70,PrSettings!$M$4="●"),(($F70-$G70)=(M70-N70))*1,0),"")</f>
        <v/>
      </c>
      <c r="R70" s="198" t="str">
        <f t="shared" si="42"/>
        <v/>
      </c>
      <c r="S70" s="198" t="str">
        <f>IF(P70&lt;&gt;"",IF(ABS($F70-$G70)&gt;=PrSettings!$M$7,(ABS($F70-$G70-M70+N70)&lt;=1)*1,IF(AND(P70,$F70=$G70,$F70&gt;=PrSettings!$M$6),(ABS(M70-$F70)&lt;=1)*1,IF(AND(P70,$F70+$G70&gt;=PrSettings!$M$8),(ABS(M70-$F70)+ABS(N70-$G70)&lt;=1)*1,""))),"")</f>
        <v/>
      </c>
      <c r="T70" s="989"/>
      <c r="U70" s="965"/>
      <c r="V70" s="966"/>
      <c r="W70" s="973"/>
      <c r="X70" s="966"/>
      <c r="Y70" s="973"/>
      <c r="Z70" s="978"/>
      <c r="AA70" s="978"/>
      <c r="AB70" s="966"/>
      <c r="AC70" s="966"/>
      <c r="AD70" s="966"/>
      <c r="AE70" s="966"/>
      <c r="AF70" s="966"/>
      <c r="AG70" s="966"/>
      <c r="AH70" s="965"/>
      <c r="AI70" s="966"/>
      <c r="AJ70" s="973"/>
      <c r="AK70" s="966"/>
      <c r="AL70" s="973"/>
      <c r="AM70" s="978"/>
      <c r="AN70" s="978"/>
      <c r="AO70" s="966"/>
      <c r="AP70" s="966"/>
      <c r="AQ70" s="966"/>
      <c r="AR70" s="966"/>
      <c r="AS70" s="966"/>
      <c r="AT70" s="966"/>
      <c r="AU70" s="965"/>
      <c r="AV70" s="966"/>
      <c r="AW70" s="973"/>
      <c r="AX70" s="966"/>
      <c r="AY70" s="973"/>
      <c r="AZ70" s="978"/>
      <c r="BA70" s="978"/>
      <c r="BB70" s="966"/>
      <c r="BC70" s="966"/>
      <c r="BD70" s="966"/>
      <c r="BE70" s="966"/>
      <c r="BF70" s="966"/>
      <c r="BG70" s="966"/>
      <c r="BH70" s="965"/>
      <c r="BI70" s="966"/>
      <c r="BJ70" s="973"/>
      <c r="BK70" s="966"/>
      <c r="BL70" s="973"/>
      <c r="BM70" s="978"/>
      <c r="BN70" s="978"/>
      <c r="BO70" s="966"/>
      <c r="BP70" s="966"/>
      <c r="BQ70" s="966"/>
      <c r="BR70" s="966"/>
      <c r="BS70" s="966"/>
      <c r="BT70" s="966"/>
      <c r="BU70" s="965"/>
      <c r="BV70" s="966"/>
      <c r="BW70" s="973"/>
      <c r="BX70" s="966"/>
      <c r="BY70" s="973"/>
      <c r="BZ70" s="978"/>
      <c r="CA70" s="978"/>
      <c r="CB70" s="966"/>
      <c r="CC70" s="966"/>
      <c r="CD70" s="966"/>
      <c r="CE70" s="966"/>
      <c r="CF70" s="966"/>
      <c r="CG70" s="966"/>
      <c r="CH70" s="965"/>
      <c r="CI70" s="966"/>
      <c r="CJ70" s="973"/>
      <c r="CK70" s="966"/>
      <c r="CL70" s="973"/>
      <c r="CM70" s="978"/>
      <c r="CN70" s="978"/>
      <c r="CO70" s="966"/>
      <c r="CP70" s="966"/>
      <c r="CQ70" s="966"/>
      <c r="CR70" s="966"/>
      <c r="CS70" s="966"/>
      <c r="CT70" s="966"/>
      <c r="CU70" s="965"/>
      <c r="CV70" s="966"/>
      <c r="CW70" s="973"/>
      <c r="CX70" s="966"/>
      <c r="CY70" s="973"/>
      <c r="CZ70" s="978"/>
      <c r="DA70" s="978"/>
      <c r="DB70" s="966"/>
      <c r="DC70" s="966"/>
      <c r="DD70" s="966"/>
      <c r="DE70" s="966"/>
      <c r="DF70" s="966"/>
      <c r="DG70" s="966"/>
      <c r="DH70" s="965"/>
      <c r="DI70" s="966"/>
      <c r="DJ70" s="973"/>
      <c r="DK70" s="966"/>
      <c r="DL70" s="973"/>
      <c r="DM70" s="978"/>
      <c r="DN70" s="978"/>
      <c r="DO70" s="966"/>
      <c r="DP70" s="966"/>
      <c r="DQ70" s="966"/>
      <c r="DR70" s="966"/>
      <c r="DS70" s="966"/>
      <c r="DT70" s="966"/>
      <c r="DU70" s="965"/>
      <c r="DV70" s="966"/>
      <c r="DW70" s="973"/>
      <c r="DX70" s="966"/>
      <c r="DY70" s="973"/>
      <c r="DZ70" s="978"/>
      <c r="EA70" s="978"/>
      <c r="EB70" s="966"/>
      <c r="EC70" s="966"/>
      <c r="ED70" s="966"/>
      <c r="EE70" s="966"/>
      <c r="EF70" s="966"/>
      <c r="EG70" s="966"/>
      <c r="EH70" s="965"/>
      <c r="EI70" s="966"/>
      <c r="EJ70" s="973"/>
      <c r="EK70" s="966"/>
      <c r="EL70" s="973"/>
      <c r="EM70" s="978"/>
      <c r="EN70" s="978"/>
      <c r="EO70" s="966"/>
      <c r="EP70" s="966"/>
      <c r="EQ70" s="966"/>
      <c r="ER70" s="966"/>
      <c r="ES70" s="966"/>
      <c r="ET70" s="966"/>
      <c r="EU70" s="965"/>
      <c r="EV70" s="966"/>
      <c r="EW70" s="973"/>
      <c r="EX70" s="966"/>
      <c r="EY70" s="973"/>
      <c r="EZ70" s="978"/>
      <c r="FA70" s="978"/>
      <c r="FB70" s="966"/>
      <c r="FC70" s="966"/>
      <c r="FD70" s="966"/>
      <c r="FE70" s="966"/>
      <c r="FF70" s="966"/>
      <c r="FG70" s="966"/>
      <c r="FH70" s="965"/>
      <c r="FI70" s="966"/>
      <c r="FJ70" s="973"/>
      <c r="FK70" s="966"/>
      <c r="FL70" s="973"/>
      <c r="FM70" s="978"/>
      <c r="FN70" s="978"/>
      <c r="FO70" s="966"/>
      <c r="FP70" s="966"/>
      <c r="FQ70" s="966"/>
      <c r="FR70" s="966"/>
      <c r="FS70" s="966"/>
      <c r="FT70" s="966"/>
      <c r="FU70" s="965"/>
      <c r="FV70" s="966"/>
      <c r="FW70" s="973"/>
      <c r="FX70" s="966"/>
      <c r="FY70" s="973"/>
      <c r="FZ70" s="978"/>
      <c r="GA70" s="978"/>
      <c r="GB70" s="966"/>
      <c r="GC70" s="966"/>
      <c r="GD70" s="966"/>
      <c r="GE70" s="966"/>
      <c r="GF70" s="966"/>
      <c r="GG70" s="966"/>
      <c r="GH70" s="965"/>
      <c r="GI70" s="966"/>
      <c r="GJ70" s="973"/>
      <c r="GK70" s="966"/>
      <c r="GL70" s="973"/>
      <c r="GM70" s="978"/>
      <c r="GN70" s="978"/>
      <c r="GO70" s="966"/>
      <c r="GP70" s="966"/>
      <c r="GQ70" s="966"/>
      <c r="GR70" s="966"/>
      <c r="GS70" s="966"/>
      <c r="GT70" s="966"/>
      <c r="GU70" s="965"/>
      <c r="GV70" s="966"/>
      <c r="GW70" s="973"/>
      <c r="GX70" s="966"/>
      <c r="GY70" s="973"/>
      <c r="GZ70" s="978"/>
      <c r="HA70" s="978"/>
      <c r="HB70" s="966"/>
      <c r="HC70" s="966"/>
      <c r="HD70" s="966"/>
      <c r="HE70" s="966"/>
      <c r="HF70" s="966"/>
      <c r="HG70" s="966"/>
      <c r="HH70" s="965"/>
      <c r="HI70" s="966"/>
      <c r="HJ70" s="973"/>
      <c r="HK70" s="966"/>
      <c r="HL70" s="973"/>
      <c r="HM70" s="978"/>
      <c r="HN70" s="978"/>
      <c r="HO70" s="966"/>
      <c r="HP70" s="966"/>
      <c r="HQ70" s="966"/>
      <c r="HR70" s="966"/>
      <c r="HS70" s="966"/>
      <c r="HT70" s="966"/>
      <c r="HU70" s="965"/>
      <c r="HV70" s="966"/>
      <c r="HW70" s="973"/>
      <c r="HX70" s="966"/>
      <c r="HY70" s="973"/>
      <c r="HZ70" s="978"/>
      <c r="IA70" s="978"/>
      <c r="IB70" s="966"/>
      <c r="IC70" s="966"/>
      <c r="ID70" s="966"/>
      <c r="IE70" s="966"/>
      <c r="IF70" s="966"/>
      <c r="IG70" s="966"/>
      <c r="IH70" s="965"/>
      <c r="II70" s="966"/>
      <c r="IJ70" s="973"/>
      <c r="IK70" s="966"/>
      <c r="IL70" s="973"/>
      <c r="IM70" s="978"/>
      <c r="IN70" s="978"/>
      <c r="IO70" s="966"/>
      <c r="IP70" s="966"/>
      <c r="IQ70" s="966"/>
      <c r="IR70" s="966"/>
      <c r="IS70" s="966"/>
      <c r="IT70" s="966"/>
      <c r="IU70" s="965"/>
      <c r="IV70" s="966"/>
      <c r="IW70" s="973"/>
      <c r="IX70" s="966"/>
      <c r="IY70" s="973"/>
      <c r="IZ70" s="978"/>
      <c r="JA70" s="978"/>
      <c r="JB70" s="966"/>
      <c r="JC70" s="966"/>
      <c r="JD70" s="966"/>
      <c r="JE70" s="966"/>
      <c r="JF70" s="966"/>
      <c r="JG70" s="966"/>
      <c r="JH70" s="965"/>
      <c r="JI70" s="966"/>
      <c r="JJ70" s="973"/>
      <c r="JK70" s="966"/>
      <c r="JL70" s="973"/>
      <c r="JM70" s="978"/>
      <c r="JN70" s="978"/>
      <c r="JO70" s="966"/>
      <c r="JP70" s="966"/>
      <c r="JQ70" s="966"/>
      <c r="JR70" s="966"/>
      <c r="JS70" s="966"/>
      <c r="JT70" s="966"/>
      <c r="JU70" s="965"/>
      <c r="JV70" s="966"/>
      <c r="JW70" s="973"/>
      <c r="JX70" s="966"/>
      <c r="JY70" s="973"/>
      <c r="JZ70" s="978"/>
      <c r="KA70" s="978"/>
      <c r="KB70" s="966"/>
      <c r="KC70" s="966"/>
      <c r="KD70" s="966"/>
      <c r="KE70" s="966"/>
      <c r="KF70" s="966"/>
      <c r="KG70" s="966"/>
      <c r="KH70" s="965"/>
      <c r="KI70" s="966"/>
      <c r="KJ70" s="973"/>
      <c r="KK70" s="966"/>
      <c r="KL70" s="973"/>
      <c r="KM70" s="978"/>
      <c r="KN70" s="978"/>
      <c r="KO70" s="966"/>
      <c r="KP70" s="966"/>
      <c r="KQ70" s="966"/>
      <c r="KR70" s="966"/>
      <c r="KS70" s="966"/>
      <c r="KT70" s="966"/>
      <c r="KU70" s="965"/>
      <c r="KV70" s="966"/>
      <c r="KW70" s="973"/>
      <c r="KX70" s="966"/>
      <c r="KY70" s="973"/>
      <c r="KZ70" s="978"/>
      <c r="LA70" s="978"/>
      <c r="LB70" s="966"/>
      <c r="LC70" s="966"/>
      <c r="LD70" s="966"/>
      <c r="LE70" s="966"/>
      <c r="LF70" s="966"/>
      <c r="LG70" s="966"/>
      <c r="LH70" s="965"/>
      <c r="LI70" s="966"/>
      <c r="LJ70" s="973"/>
      <c r="LK70" s="966"/>
      <c r="LL70" s="973"/>
      <c r="LM70" s="978"/>
      <c r="LN70" s="978"/>
      <c r="LO70" s="966"/>
      <c r="LP70" s="966"/>
      <c r="LQ70" s="966"/>
      <c r="LR70" s="966"/>
      <c r="LS70" s="966"/>
      <c r="LT70" s="966"/>
      <c r="LU70" s="965"/>
      <c r="LV70" s="966"/>
      <c r="LW70" s="973"/>
      <c r="LX70" s="966"/>
      <c r="LY70" s="973"/>
      <c r="LZ70" s="978"/>
      <c r="MA70" s="978"/>
      <c r="MB70" s="966"/>
      <c r="MC70" s="966"/>
      <c r="MD70" s="966"/>
      <c r="ME70" s="966"/>
      <c r="MF70" s="966"/>
      <c r="MG70" s="966"/>
    </row>
    <row r="71" spans="2:345">
      <c r="B71" s="196">
        <f>INDEX(Groups!$C$7:$C$65,MATCH(C71,Groups!$D$7:$D$65,0))</f>
        <v>3</v>
      </c>
      <c r="C71" s="197" t="str">
        <f>CalcJ!$P$24</f>
        <v>Argentinië</v>
      </c>
      <c r="D71" s="198">
        <f>INDEX(Groups!$C$7:$C$65,MATCH(E71,Groups!$D$7:$D$65,0))</f>
        <v>24</v>
      </c>
      <c r="E71" s="197" t="str">
        <f>CalcJ!$Q$24</f>
        <v>Oostenrijk</v>
      </c>
      <c r="F71" s="199" t="str">
        <f>CalcJ!$R$24</f>
        <v/>
      </c>
      <c r="G71" s="200" t="str">
        <f>CalcJ!$S$24</f>
        <v/>
      </c>
      <c r="I71" s="196">
        <f t="shared" si="18"/>
        <v>3</v>
      </c>
      <c r="J71" s="197" t="str">
        <f t="shared" si="39"/>
        <v>Argentinië</v>
      </c>
      <c r="K71" s="198">
        <f t="shared" si="43"/>
        <v>24</v>
      </c>
      <c r="L71" s="197" t="str">
        <f t="shared" si="40"/>
        <v>Oostenrijk</v>
      </c>
      <c r="M71" s="232"/>
      <c r="N71" s="232"/>
      <c r="O71" s="228"/>
      <c r="P71" s="198" t="str">
        <f t="shared" si="41"/>
        <v/>
      </c>
      <c r="Q71" s="198" t="str">
        <f>IF((P71&lt;&gt;""),IF(OR($F71&lt;&gt;$G71,PrSettings!$M$4="●"),(($F71-$G71)=(M71-N71))*1,0),"")</f>
        <v/>
      </c>
      <c r="R71" s="198" t="str">
        <f t="shared" si="42"/>
        <v/>
      </c>
      <c r="S71" s="198" t="str">
        <f>IF(P71&lt;&gt;"",IF(ABS($F71-$G71)&gt;=PrSettings!$M$7,(ABS($F71-$G71-M71+N71)&lt;=1)*1,IF(AND(P71,$F71=$G71,$F71&gt;=PrSettings!$M$6),(ABS(M71-$F71)&lt;=1)*1,IF(AND(P71,$F71+$G71&gt;=PrSettings!$M$8),(ABS(M71-$F71)+ABS(N71-$G71)&lt;=1)*1,""))),"")</f>
        <v/>
      </c>
      <c r="T71" s="989"/>
      <c r="U71" s="965"/>
      <c r="V71" s="966"/>
      <c r="W71" s="973"/>
      <c r="X71" s="966"/>
      <c r="Y71" s="973"/>
      <c r="Z71" s="978"/>
      <c r="AA71" s="978"/>
      <c r="AB71" s="966"/>
      <c r="AC71" s="966"/>
      <c r="AD71" s="966"/>
      <c r="AE71" s="966"/>
      <c r="AF71" s="966"/>
      <c r="AG71" s="966"/>
      <c r="AH71" s="965"/>
      <c r="AI71" s="966"/>
      <c r="AJ71" s="973"/>
      <c r="AK71" s="966"/>
      <c r="AL71" s="973"/>
      <c r="AM71" s="978"/>
      <c r="AN71" s="978"/>
      <c r="AO71" s="966"/>
      <c r="AP71" s="966"/>
      <c r="AQ71" s="966"/>
      <c r="AR71" s="966"/>
      <c r="AS71" s="966"/>
      <c r="AT71" s="966"/>
      <c r="AU71" s="965"/>
      <c r="AV71" s="966"/>
      <c r="AW71" s="973"/>
      <c r="AX71" s="966"/>
      <c r="AY71" s="973"/>
      <c r="AZ71" s="978"/>
      <c r="BA71" s="978"/>
      <c r="BB71" s="966"/>
      <c r="BC71" s="966"/>
      <c r="BD71" s="966"/>
      <c r="BE71" s="966"/>
      <c r="BF71" s="966"/>
      <c r="BG71" s="966"/>
      <c r="BH71" s="965"/>
      <c r="BI71" s="966"/>
      <c r="BJ71" s="973"/>
      <c r="BK71" s="966"/>
      <c r="BL71" s="973"/>
      <c r="BM71" s="978"/>
      <c r="BN71" s="978"/>
      <c r="BO71" s="966"/>
      <c r="BP71" s="966"/>
      <c r="BQ71" s="966"/>
      <c r="BR71" s="966"/>
      <c r="BS71" s="966"/>
      <c r="BT71" s="966"/>
      <c r="BU71" s="965"/>
      <c r="BV71" s="966"/>
      <c r="BW71" s="973"/>
      <c r="BX71" s="966"/>
      <c r="BY71" s="973"/>
      <c r="BZ71" s="978"/>
      <c r="CA71" s="978"/>
      <c r="CB71" s="966"/>
      <c r="CC71" s="966"/>
      <c r="CD71" s="966"/>
      <c r="CE71" s="966"/>
      <c r="CF71" s="966"/>
      <c r="CG71" s="966"/>
      <c r="CH71" s="965"/>
      <c r="CI71" s="966"/>
      <c r="CJ71" s="973"/>
      <c r="CK71" s="966"/>
      <c r="CL71" s="973"/>
      <c r="CM71" s="978"/>
      <c r="CN71" s="978"/>
      <c r="CO71" s="966"/>
      <c r="CP71" s="966"/>
      <c r="CQ71" s="966"/>
      <c r="CR71" s="966"/>
      <c r="CS71" s="966"/>
      <c r="CT71" s="966"/>
      <c r="CU71" s="965"/>
      <c r="CV71" s="966"/>
      <c r="CW71" s="973"/>
      <c r="CX71" s="966"/>
      <c r="CY71" s="973"/>
      <c r="CZ71" s="978"/>
      <c r="DA71" s="978"/>
      <c r="DB71" s="966"/>
      <c r="DC71" s="966"/>
      <c r="DD71" s="966"/>
      <c r="DE71" s="966"/>
      <c r="DF71" s="966"/>
      <c r="DG71" s="966"/>
      <c r="DH71" s="965"/>
      <c r="DI71" s="966"/>
      <c r="DJ71" s="973"/>
      <c r="DK71" s="966"/>
      <c r="DL71" s="973"/>
      <c r="DM71" s="978"/>
      <c r="DN71" s="978"/>
      <c r="DO71" s="966"/>
      <c r="DP71" s="966"/>
      <c r="DQ71" s="966"/>
      <c r="DR71" s="966"/>
      <c r="DS71" s="966"/>
      <c r="DT71" s="966"/>
      <c r="DU71" s="965"/>
      <c r="DV71" s="966"/>
      <c r="DW71" s="973"/>
      <c r="DX71" s="966"/>
      <c r="DY71" s="973"/>
      <c r="DZ71" s="978"/>
      <c r="EA71" s="978"/>
      <c r="EB71" s="966"/>
      <c r="EC71" s="966"/>
      <c r="ED71" s="966"/>
      <c r="EE71" s="966"/>
      <c r="EF71" s="966"/>
      <c r="EG71" s="966"/>
      <c r="EH71" s="965"/>
      <c r="EI71" s="966"/>
      <c r="EJ71" s="973"/>
      <c r="EK71" s="966"/>
      <c r="EL71" s="973"/>
      <c r="EM71" s="978"/>
      <c r="EN71" s="978"/>
      <c r="EO71" s="966"/>
      <c r="EP71" s="966"/>
      <c r="EQ71" s="966"/>
      <c r="ER71" s="966"/>
      <c r="ES71" s="966"/>
      <c r="ET71" s="966"/>
      <c r="EU71" s="965"/>
      <c r="EV71" s="966"/>
      <c r="EW71" s="973"/>
      <c r="EX71" s="966"/>
      <c r="EY71" s="973"/>
      <c r="EZ71" s="978"/>
      <c r="FA71" s="978"/>
      <c r="FB71" s="966"/>
      <c r="FC71" s="966"/>
      <c r="FD71" s="966"/>
      <c r="FE71" s="966"/>
      <c r="FF71" s="966"/>
      <c r="FG71" s="966"/>
      <c r="FH71" s="965"/>
      <c r="FI71" s="966"/>
      <c r="FJ71" s="973"/>
      <c r="FK71" s="966"/>
      <c r="FL71" s="973"/>
      <c r="FM71" s="978"/>
      <c r="FN71" s="978"/>
      <c r="FO71" s="966"/>
      <c r="FP71" s="966"/>
      <c r="FQ71" s="966"/>
      <c r="FR71" s="966"/>
      <c r="FS71" s="966"/>
      <c r="FT71" s="966"/>
      <c r="FU71" s="965"/>
      <c r="FV71" s="966"/>
      <c r="FW71" s="973"/>
      <c r="FX71" s="966"/>
      <c r="FY71" s="973"/>
      <c r="FZ71" s="978"/>
      <c r="GA71" s="978"/>
      <c r="GB71" s="966"/>
      <c r="GC71" s="966"/>
      <c r="GD71" s="966"/>
      <c r="GE71" s="966"/>
      <c r="GF71" s="966"/>
      <c r="GG71" s="966"/>
      <c r="GH71" s="965"/>
      <c r="GI71" s="966"/>
      <c r="GJ71" s="973"/>
      <c r="GK71" s="966"/>
      <c r="GL71" s="973"/>
      <c r="GM71" s="978"/>
      <c r="GN71" s="978"/>
      <c r="GO71" s="966"/>
      <c r="GP71" s="966"/>
      <c r="GQ71" s="966"/>
      <c r="GR71" s="966"/>
      <c r="GS71" s="966"/>
      <c r="GT71" s="966"/>
      <c r="GU71" s="965"/>
      <c r="GV71" s="966"/>
      <c r="GW71" s="973"/>
      <c r="GX71" s="966"/>
      <c r="GY71" s="973"/>
      <c r="GZ71" s="978"/>
      <c r="HA71" s="978"/>
      <c r="HB71" s="966"/>
      <c r="HC71" s="966"/>
      <c r="HD71" s="966"/>
      <c r="HE71" s="966"/>
      <c r="HF71" s="966"/>
      <c r="HG71" s="966"/>
      <c r="HH71" s="965"/>
      <c r="HI71" s="966"/>
      <c r="HJ71" s="973"/>
      <c r="HK71" s="966"/>
      <c r="HL71" s="973"/>
      <c r="HM71" s="978"/>
      <c r="HN71" s="978"/>
      <c r="HO71" s="966"/>
      <c r="HP71" s="966"/>
      <c r="HQ71" s="966"/>
      <c r="HR71" s="966"/>
      <c r="HS71" s="966"/>
      <c r="HT71" s="966"/>
      <c r="HU71" s="965"/>
      <c r="HV71" s="966"/>
      <c r="HW71" s="973"/>
      <c r="HX71" s="966"/>
      <c r="HY71" s="973"/>
      <c r="HZ71" s="978"/>
      <c r="IA71" s="978"/>
      <c r="IB71" s="966"/>
      <c r="IC71" s="966"/>
      <c r="ID71" s="966"/>
      <c r="IE71" s="966"/>
      <c r="IF71" s="966"/>
      <c r="IG71" s="966"/>
      <c r="IH71" s="965"/>
      <c r="II71" s="966"/>
      <c r="IJ71" s="973"/>
      <c r="IK71" s="966"/>
      <c r="IL71" s="973"/>
      <c r="IM71" s="978"/>
      <c r="IN71" s="978"/>
      <c r="IO71" s="966"/>
      <c r="IP71" s="966"/>
      <c r="IQ71" s="966"/>
      <c r="IR71" s="966"/>
      <c r="IS71" s="966"/>
      <c r="IT71" s="966"/>
      <c r="IU71" s="965"/>
      <c r="IV71" s="966"/>
      <c r="IW71" s="973"/>
      <c r="IX71" s="966"/>
      <c r="IY71" s="973"/>
      <c r="IZ71" s="978"/>
      <c r="JA71" s="978"/>
      <c r="JB71" s="966"/>
      <c r="JC71" s="966"/>
      <c r="JD71" s="966"/>
      <c r="JE71" s="966"/>
      <c r="JF71" s="966"/>
      <c r="JG71" s="966"/>
      <c r="JH71" s="965"/>
      <c r="JI71" s="966"/>
      <c r="JJ71" s="973"/>
      <c r="JK71" s="966"/>
      <c r="JL71" s="973"/>
      <c r="JM71" s="978"/>
      <c r="JN71" s="978"/>
      <c r="JO71" s="966"/>
      <c r="JP71" s="966"/>
      <c r="JQ71" s="966"/>
      <c r="JR71" s="966"/>
      <c r="JS71" s="966"/>
      <c r="JT71" s="966"/>
      <c r="JU71" s="965"/>
      <c r="JV71" s="966"/>
      <c r="JW71" s="973"/>
      <c r="JX71" s="966"/>
      <c r="JY71" s="973"/>
      <c r="JZ71" s="978"/>
      <c r="KA71" s="978"/>
      <c r="KB71" s="966"/>
      <c r="KC71" s="966"/>
      <c r="KD71" s="966"/>
      <c r="KE71" s="966"/>
      <c r="KF71" s="966"/>
      <c r="KG71" s="966"/>
      <c r="KH71" s="965"/>
      <c r="KI71" s="966"/>
      <c r="KJ71" s="973"/>
      <c r="KK71" s="966"/>
      <c r="KL71" s="973"/>
      <c r="KM71" s="978"/>
      <c r="KN71" s="978"/>
      <c r="KO71" s="966"/>
      <c r="KP71" s="966"/>
      <c r="KQ71" s="966"/>
      <c r="KR71" s="966"/>
      <c r="KS71" s="966"/>
      <c r="KT71" s="966"/>
      <c r="KU71" s="965"/>
      <c r="KV71" s="966"/>
      <c r="KW71" s="973"/>
      <c r="KX71" s="966"/>
      <c r="KY71" s="973"/>
      <c r="KZ71" s="978"/>
      <c r="LA71" s="978"/>
      <c r="LB71" s="966"/>
      <c r="LC71" s="966"/>
      <c r="LD71" s="966"/>
      <c r="LE71" s="966"/>
      <c r="LF71" s="966"/>
      <c r="LG71" s="966"/>
      <c r="LH71" s="965"/>
      <c r="LI71" s="966"/>
      <c r="LJ71" s="973"/>
      <c r="LK71" s="966"/>
      <c r="LL71" s="973"/>
      <c r="LM71" s="978"/>
      <c r="LN71" s="978"/>
      <c r="LO71" s="966"/>
      <c r="LP71" s="966"/>
      <c r="LQ71" s="966"/>
      <c r="LR71" s="966"/>
      <c r="LS71" s="966"/>
      <c r="LT71" s="966"/>
      <c r="LU71" s="965"/>
      <c r="LV71" s="966"/>
      <c r="LW71" s="973"/>
      <c r="LX71" s="966"/>
      <c r="LY71" s="973"/>
      <c r="LZ71" s="978"/>
      <c r="MA71" s="978"/>
      <c r="MB71" s="966"/>
      <c r="MC71" s="966"/>
      <c r="MD71" s="966"/>
      <c r="ME71" s="966"/>
      <c r="MF71" s="966"/>
      <c r="MG71" s="966"/>
    </row>
    <row r="72" spans="2:345">
      <c r="B72" s="196">
        <f>INDEX(Groups!$C$7:$C$65,MATCH(C72,Groups!$D$7:$D$65,0))</f>
        <v>63</v>
      </c>
      <c r="C72" s="197" t="str">
        <f>CalcJ!$P$25</f>
        <v>Jordanië</v>
      </c>
      <c r="D72" s="198">
        <f>INDEX(Groups!$C$7:$C$65,MATCH(E72,Groups!$D$7:$D$65,0))</f>
        <v>28</v>
      </c>
      <c r="E72" s="197" t="str">
        <f>CalcJ!$Q$25</f>
        <v>Algerije</v>
      </c>
      <c r="F72" s="199" t="str">
        <f>CalcJ!$R$25</f>
        <v/>
      </c>
      <c r="G72" s="200" t="str">
        <f>CalcJ!$S$25</f>
        <v/>
      </c>
      <c r="I72" s="196">
        <f t="shared" si="18"/>
        <v>63</v>
      </c>
      <c r="J72" s="197" t="str">
        <f t="shared" si="39"/>
        <v>Jordanië</v>
      </c>
      <c r="K72" s="198">
        <f t="shared" si="43"/>
        <v>28</v>
      </c>
      <c r="L72" s="197" t="str">
        <f t="shared" si="40"/>
        <v>Algerije</v>
      </c>
      <c r="M72" s="232"/>
      <c r="N72" s="232"/>
      <c r="O72" s="228"/>
      <c r="P72" s="198" t="str">
        <f t="shared" si="41"/>
        <v/>
      </c>
      <c r="Q72" s="198" t="str">
        <f>IF((P72&lt;&gt;""),IF(OR($F72&lt;&gt;$G72,PrSettings!$M$4="●"),(($F72-$G72)=(M72-N72))*1,0),"")</f>
        <v/>
      </c>
      <c r="R72" s="198" t="str">
        <f t="shared" si="42"/>
        <v/>
      </c>
      <c r="S72" s="198" t="str">
        <f>IF(P72&lt;&gt;"",IF(ABS($F72-$G72)&gt;=PrSettings!$M$7,(ABS($F72-$G72-M72+N72)&lt;=1)*1,IF(AND(P72,$F72=$G72,$F72&gt;=PrSettings!$M$6),(ABS(M72-$F72)&lt;=1)*1,IF(AND(P72,$F72+$G72&gt;=PrSettings!$M$8),(ABS(M72-$F72)+ABS(N72-$G72)&lt;=1)*1,""))),"")</f>
        <v/>
      </c>
      <c r="T72" s="989"/>
      <c r="U72" s="965"/>
      <c r="V72" s="966"/>
      <c r="W72" s="973"/>
      <c r="X72" s="966"/>
      <c r="Y72" s="973"/>
      <c r="Z72" s="978"/>
      <c r="AA72" s="978"/>
      <c r="AB72" s="966"/>
      <c r="AC72" s="966"/>
      <c r="AD72" s="966"/>
      <c r="AE72" s="966"/>
      <c r="AF72" s="966"/>
      <c r="AG72" s="966"/>
      <c r="AH72" s="965"/>
      <c r="AI72" s="966"/>
      <c r="AJ72" s="973"/>
      <c r="AK72" s="966"/>
      <c r="AL72" s="973"/>
      <c r="AM72" s="978"/>
      <c r="AN72" s="978"/>
      <c r="AO72" s="966"/>
      <c r="AP72" s="966"/>
      <c r="AQ72" s="966"/>
      <c r="AR72" s="966"/>
      <c r="AS72" s="966"/>
      <c r="AT72" s="966"/>
      <c r="AU72" s="965"/>
      <c r="AV72" s="966"/>
      <c r="AW72" s="973"/>
      <c r="AX72" s="966"/>
      <c r="AY72" s="973"/>
      <c r="AZ72" s="978"/>
      <c r="BA72" s="978"/>
      <c r="BB72" s="966"/>
      <c r="BC72" s="966"/>
      <c r="BD72" s="966"/>
      <c r="BE72" s="966"/>
      <c r="BF72" s="966"/>
      <c r="BG72" s="966"/>
      <c r="BH72" s="965"/>
      <c r="BI72" s="966"/>
      <c r="BJ72" s="973"/>
      <c r="BK72" s="966"/>
      <c r="BL72" s="973"/>
      <c r="BM72" s="978"/>
      <c r="BN72" s="978"/>
      <c r="BO72" s="966"/>
      <c r="BP72" s="966"/>
      <c r="BQ72" s="966"/>
      <c r="BR72" s="966"/>
      <c r="BS72" s="966"/>
      <c r="BT72" s="966"/>
      <c r="BU72" s="965"/>
      <c r="BV72" s="966"/>
      <c r="BW72" s="973"/>
      <c r="BX72" s="966"/>
      <c r="BY72" s="973"/>
      <c r="BZ72" s="978"/>
      <c r="CA72" s="978"/>
      <c r="CB72" s="966"/>
      <c r="CC72" s="966"/>
      <c r="CD72" s="966"/>
      <c r="CE72" s="966"/>
      <c r="CF72" s="966"/>
      <c r="CG72" s="966"/>
      <c r="CH72" s="965"/>
      <c r="CI72" s="966"/>
      <c r="CJ72" s="973"/>
      <c r="CK72" s="966"/>
      <c r="CL72" s="973"/>
      <c r="CM72" s="978"/>
      <c r="CN72" s="978"/>
      <c r="CO72" s="966"/>
      <c r="CP72" s="966"/>
      <c r="CQ72" s="966"/>
      <c r="CR72" s="966"/>
      <c r="CS72" s="966"/>
      <c r="CT72" s="966"/>
      <c r="CU72" s="965"/>
      <c r="CV72" s="966"/>
      <c r="CW72" s="973"/>
      <c r="CX72" s="966"/>
      <c r="CY72" s="973"/>
      <c r="CZ72" s="978"/>
      <c r="DA72" s="978"/>
      <c r="DB72" s="966"/>
      <c r="DC72" s="966"/>
      <c r="DD72" s="966"/>
      <c r="DE72" s="966"/>
      <c r="DF72" s="966"/>
      <c r="DG72" s="966"/>
      <c r="DH72" s="965"/>
      <c r="DI72" s="966"/>
      <c r="DJ72" s="973"/>
      <c r="DK72" s="966"/>
      <c r="DL72" s="973"/>
      <c r="DM72" s="978"/>
      <c r="DN72" s="978"/>
      <c r="DO72" s="966"/>
      <c r="DP72" s="966"/>
      <c r="DQ72" s="966"/>
      <c r="DR72" s="966"/>
      <c r="DS72" s="966"/>
      <c r="DT72" s="966"/>
      <c r="DU72" s="965"/>
      <c r="DV72" s="966"/>
      <c r="DW72" s="973"/>
      <c r="DX72" s="966"/>
      <c r="DY72" s="973"/>
      <c r="DZ72" s="978"/>
      <c r="EA72" s="978"/>
      <c r="EB72" s="966"/>
      <c r="EC72" s="966"/>
      <c r="ED72" s="966"/>
      <c r="EE72" s="966"/>
      <c r="EF72" s="966"/>
      <c r="EG72" s="966"/>
      <c r="EH72" s="965"/>
      <c r="EI72" s="966"/>
      <c r="EJ72" s="973"/>
      <c r="EK72" s="966"/>
      <c r="EL72" s="973"/>
      <c r="EM72" s="978"/>
      <c r="EN72" s="978"/>
      <c r="EO72" s="966"/>
      <c r="EP72" s="966"/>
      <c r="EQ72" s="966"/>
      <c r="ER72" s="966"/>
      <c r="ES72" s="966"/>
      <c r="ET72" s="966"/>
      <c r="EU72" s="965"/>
      <c r="EV72" s="966"/>
      <c r="EW72" s="973"/>
      <c r="EX72" s="966"/>
      <c r="EY72" s="973"/>
      <c r="EZ72" s="978"/>
      <c r="FA72" s="978"/>
      <c r="FB72" s="966"/>
      <c r="FC72" s="966"/>
      <c r="FD72" s="966"/>
      <c r="FE72" s="966"/>
      <c r="FF72" s="966"/>
      <c r="FG72" s="966"/>
      <c r="FH72" s="965"/>
      <c r="FI72" s="966"/>
      <c r="FJ72" s="973"/>
      <c r="FK72" s="966"/>
      <c r="FL72" s="973"/>
      <c r="FM72" s="978"/>
      <c r="FN72" s="978"/>
      <c r="FO72" s="966"/>
      <c r="FP72" s="966"/>
      <c r="FQ72" s="966"/>
      <c r="FR72" s="966"/>
      <c r="FS72" s="966"/>
      <c r="FT72" s="966"/>
      <c r="FU72" s="965"/>
      <c r="FV72" s="966"/>
      <c r="FW72" s="973"/>
      <c r="FX72" s="966"/>
      <c r="FY72" s="973"/>
      <c r="FZ72" s="978"/>
      <c r="GA72" s="978"/>
      <c r="GB72" s="966"/>
      <c r="GC72" s="966"/>
      <c r="GD72" s="966"/>
      <c r="GE72" s="966"/>
      <c r="GF72" s="966"/>
      <c r="GG72" s="966"/>
      <c r="GH72" s="965"/>
      <c r="GI72" s="966"/>
      <c r="GJ72" s="973"/>
      <c r="GK72" s="966"/>
      <c r="GL72" s="973"/>
      <c r="GM72" s="978"/>
      <c r="GN72" s="978"/>
      <c r="GO72" s="966"/>
      <c r="GP72" s="966"/>
      <c r="GQ72" s="966"/>
      <c r="GR72" s="966"/>
      <c r="GS72" s="966"/>
      <c r="GT72" s="966"/>
      <c r="GU72" s="965"/>
      <c r="GV72" s="966"/>
      <c r="GW72" s="973"/>
      <c r="GX72" s="966"/>
      <c r="GY72" s="973"/>
      <c r="GZ72" s="978"/>
      <c r="HA72" s="978"/>
      <c r="HB72" s="966"/>
      <c r="HC72" s="966"/>
      <c r="HD72" s="966"/>
      <c r="HE72" s="966"/>
      <c r="HF72" s="966"/>
      <c r="HG72" s="966"/>
      <c r="HH72" s="965"/>
      <c r="HI72" s="966"/>
      <c r="HJ72" s="973"/>
      <c r="HK72" s="966"/>
      <c r="HL72" s="973"/>
      <c r="HM72" s="978"/>
      <c r="HN72" s="978"/>
      <c r="HO72" s="966"/>
      <c r="HP72" s="966"/>
      <c r="HQ72" s="966"/>
      <c r="HR72" s="966"/>
      <c r="HS72" s="966"/>
      <c r="HT72" s="966"/>
      <c r="HU72" s="965"/>
      <c r="HV72" s="966"/>
      <c r="HW72" s="973"/>
      <c r="HX72" s="966"/>
      <c r="HY72" s="973"/>
      <c r="HZ72" s="978"/>
      <c r="IA72" s="978"/>
      <c r="IB72" s="966"/>
      <c r="IC72" s="966"/>
      <c r="ID72" s="966"/>
      <c r="IE72" s="966"/>
      <c r="IF72" s="966"/>
      <c r="IG72" s="966"/>
      <c r="IH72" s="965"/>
      <c r="II72" s="966"/>
      <c r="IJ72" s="973"/>
      <c r="IK72" s="966"/>
      <c r="IL72" s="973"/>
      <c r="IM72" s="978"/>
      <c r="IN72" s="978"/>
      <c r="IO72" s="966"/>
      <c r="IP72" s="966"/>
      <c r="IQ72" s="966"/>
      <c r="IR72" s="966"/>
      <c r="IS72" s="966"/>
      <c r="IT72" s="966"/>
      <c r="IU72" s="965"/>
      <c r="IV72" s="966"/>
      <c r="IW72" s="973"/>
      <c r="IX72" s="966"/>
      <c r="IY72" s="973"/>
      <c r="IZ72" s="978"/>
      <c r="JA72" s="978"/>
      <c r="JB72" s="966"/>
      <c r="JC72" s="966"/>
      <c r="JD72" s="966"/>
      <c r="JE72" s="966"/>
      <c r="JF72" s="966"/>
      <c r="JG72" s="966"/>
      <c r="JH72" s="965"/>
      <c r="JI72" s="966"/>
      <c r="JJ72" s="973"/>
      <c r="JK72" s="966"/>
      <c r="JL72" s="973"/>
      <c r="JM72" s="978"/>
      <c r="JN72" s="978"/>
      <c r="JO72" s="966"/>
      <c r="JP72" s="966"/>
      <c r="JQ72" s="966"/>
      <c r="JR72" s="966"/>
      <c r="JS72" s="966"/>
      <c r="JT72" s="966"/>
      <c r="JU72" s="965"/>
      <c r="JV72" s="966"/>
      <c r="JW72" s="973"/>
      <c r="JX72" s="966"/>
      <c r="JY72" s="973"/>
      <c r="JZ72" s="978"/>
      <c r="KA72" s="978"/>
      <c r="KB72" s="966"/>
      <c r="KC72" s="966"/>
      <c r="KD72" s="966"/>
      <c r="KE72" s="966"/>
      <c r="KF72" s="966"/>
      <c r="KG72" s="966"/>
      <c r="KH72" s="965"/>
      <c r="KI72" s="966"/>
      <c r="KJ72" s="973"/>
      <c r="KK72" s="966"/>
      <c r="KL72" s="973"/>
      <c r="KM72" s="978"/>
      <c r="KN72" s="978"/>
      <c r="KO72" s="966"/>
      <c r="KP72" s="966"/>
      <c r="KQ72" s="966"/>
      <c r="KR72" s="966"/>
      <c r="KS72" s="966"/>
      <c r="KT72" s="966"/>
      <c r="KU72" s="965"/>
      <c r="KV72" s="966"/>
      <c r="KW72" s="973"/>
      <c r="KX72" s="966"/>
      <c r="KY72" s="973"/>
      <c r="KZ72" s="978"/>
      <c r="LA72" s="978"/>
      <c r="LB72" s="966"/>
      <c r="LC72" s="966"/>
      <c r="LD72" s="966"/>
      <c r="LE72" s="966"/>
      <c r="LF72" s="966"/>
      <c r="LG72" s="966"/>
      <c r="LH72" s="965"/>
      <c r="LI72" s="966"/>
      <c r="LJ72" s="973"/>
      <c r="LK72" s="966"/>
      <c r="LL72" s="973"/>
      <c r="LM72" s="978"/>
      <c r="LN72" s="978"/>
      <c r="LO72" s="966"/>
      <c r="LP72" s="966"/>
      <c r="LQ72" s="966"/>
      <c r="LR72" s="966"/>
      <c r="LS72" s="966"/>
      <c r="LT72" s="966"/>
      <c r="LU72" s="965"/>
      <c r="LV72" s="966"/>
      <c r="LW72" s="973"/>
      <c r="LX72" s="966"/>
      <c r="LY72" s="973"/>
      <c r="LZ72" s="978"/>
      <c r="MA72" s="978"/>
      <c r="MB72" s="966"/>
      <c r="MC72" s="966"/>
      <c r="MD72" s="966"/>
      <c r="ME72" s="966"/>
      <c r="MF72" s="966"/>
      <c r="MG72" s="966"/>
    </row>
    <row r="73" spans="2:345">
      <c r="B73" s="196">
        <f>INDEX(Groups!$C$7:$C$65,MATCH(C73,Groups!$D$7:$D$65,0))</f>
        <v>28</v>
      </c>
      <c r="C73" s="197" t="str">
        <f>CalcJ!$P$26</f>
        <v>Algerije</v>
      </c>
      <c r="D73" s="198">
        <f>INDEX(Groups!$C$7:$C$65,MATCH(E73,Groups!$D$7:$D$65,0))</f>
        <v>24</v>
      </c>
      <c r="E73" s="197" t="str">
        <f>CalcJ!$Q$26</f>
        <v>Oostenrijk</v>
      </c>
      <c r="F73" s="199" t="str">
        <f>CalcJ!$R$26</f>
        <v/>
      </c>
      <c r="G73" s="200" t="str">
        <f>CalcJ!$S$26</f>
        <v/>
      </c>
      <c r="I73" s="196">
        <f t="shared" si="18"/>
        <v>28</v>
      </c>
      <c r="J73" s="197" t="str">
        <f t="shared" si="39"/>
        <v>Algerije</v>
      </c>
      <c r="K73" s="198">
        <f t="shared" si="43"/>
        <v>24</v>
      </c>
      <c r="L73" s="197" t="str">
        <f t="shared" si="40"/>
        <v>Oostenrijk</v>
      </c>
      <c r="M73" s="232"/>
      <c r="N73" s="232"/>
      <c r="O73" s="228"/>
      <c r="P73" s="198" t="str">
        <f t="shared" si="41"/>
        <v/>
      </c>
      <c r="Q73" s="198" t="str">
        <f>IF((P73&lt;&gt;""),IF(OR($F73&lt;&gt;$G73,PrSettings!$M$4="●"),(($F73-$G73)=(M73-N73))*1,0),"")</f>
        <v/>
      </c>
      <c r="R73" s="198" t="str">
        <f t="shared" si="42"/>
        <v/>
      </c>
      <c r="S73" s="198" t="str">
        <f>IF(P73&lt;&gt;"",IF(ABS($F73-$G73)&gt;=PrSettings!$M$7,(ABS($F73-$G73-M73+N73)&lt;=1)*1,IF(AND(P73,$F73=$G73,$F73&gt;=PrSettings!$M$6),(ABS(M73-$F73)&lt;=1)*1,IF(AND(P73,$F73+$G73&gt;=PrSettings!$M$8),(ABS(M73-$F73)+ABS(N73-$G73)&lt;=1)*1,""))),"")</f>
        <v/>
      </c>
      <c r="T73" s="989"/>
      <c r="U73" s="965"/>
      <c r="V73" s="966"/>
      <c r="W73" s="973"/>
      <c r="X73" s="966"/>
      <c r="Y73" s="973"/>
      <c r="Z73" s="978"/>
      <c r="AA73" s="978"/>
      <c r="AB73" s="966"/>
      <c r="AC73" s="966"/>
      <c r="AD73" s="966"/>
      <c r="AE73" s="966"/>
      <c r="AF73" s="966"/>
      <c r="AG73" s="966"/>
      <c r="AH73" s="965"/>
      <c r="AI73" s="966"/>
      <c r="AJ73" s="973"/>
      <c r="AK73" s="966"/>
      <c r="AL73" s="973"/>
      <c r="AM73" s="978"/>
      <c r="AN73" s="978"/>
      <c r="AO73" s="966"/>
      <c r="AP73" s="966"/>
      <c r="AQ73" s="966"/>
      <c r="AR73" s="966"/>
      <c r="AS73" s="966"/>
      <c r="AT73" s="966"/>
      <c r="AU73" s="965"/>
      <c r="AV73" s="966"/>
      <c r="AW73" s="973"/>
      <c r="AX73" s="966"/>
      <c r="AY73" s="973"/>
      <c r="AZ73" s="978"/>
      <c r="BA73" s="978"/>
      <c r="BB73" s="966"/>
      <c r="BC73" s="966"/>
      <c r="BD73" s="966"/>
      <c r="BE73" s="966"/>
      <c r="BF73" s="966"/>
      <c r="BG73" s="966"/>
      <c r="BH73" s="965"/>
      <c r="BI73" s="966"/>
      <c r="BJ73" s="973"/>
      <c r="BK73" s="966"/>
      <c r="BL73" s="973"/>
      <c r="BM73" s="978"/>
      <c r="BN73" s="978"/>
      <c r="BO73" s="966"/>
      <c r="BP73" s="966"/>
      <c r="BQ73" s="966"/>
      <c r="BR73" s="966"/>
      <c r="BS73" s="966"/>
      <c r="BT73" s="966"/>
      <c r="BU73" s="965"/>
      <c r="BV73" s="966"/>
      <c r="BW73" s="973"/>
      <c r="BX73" s="966"/>
      <c r="BY73" s="973"/>
      <c r="BZ73" s="978"/>
      <c r="CA73" s="978"/>
      <c r="CB73" s="966"/>
      <c r="CC73" s="966"/>
      <c r="CD73" s="966"/>
      <c r="CE73" s="966"/>
      <c r="CF73" s="966"/>
      <c r="CG73" s="966"/>
      <c r="CH73" s="965"/>
      <c r="CI73" s="966"/>
      <c r="CJ73" s="973"/>
      <c r="CK73" s="966"/>
      <c r="CL73" s="973"/>
      <c r="CM73" s="978"/>
      <c r="CN73" s="978"/>
      <c r="CO73" s="966"/>
      <c r="CP73" s="966"/>
      <c r="CQ73" s="966"/>
      <c r="CR73" s="966"/>
      <c r="CS73" s="966"/>
      <c r="CT73" s="966"/>
      <c r="CU73" s="965"/>
      <c r="CV73" s="966"/>
      <c r="CW73" s="973"/>
      <c r="CX73" s="966"/>
      <c r="CY73" s="973"/>
      <c r="CZ73" s="978"/>
      <c r="DA73" s="978"/>
      <c r="DB73" s="966"/>
      <c r="DC73" s="966"/>
      <c r="DD73" s="966"/>
      <c r="DE73" s="966"/>
      <c r="DF73" s="966"/>
      <c r="DG73" s="966"/>
      <c r="DH73" s="965"/>
      <c r="DI73" s="966"/>
      <c r="DJ73" s="973"/>
      <c r="DK73" s="966"/>
      <c r="DL73" s="973"/>
      <c r="DM73" s="978"/>
      <c r="DN73" s="978"/>
      <c r="DO73" s="966"/>
      <c r="DP73" s="966"/>
      <c r="DQ73" s="966"/>
      <c r="DR73" s="966"/>
      <c r="DS73" s="966"/>
      <c r="DT73" s="966"/>
      <c r="DU73" s="965"/>
      <c r="DV73" s="966"/>
      <c r="DW73" s="973"/>
      <c r="DX73" s="966"/>
      <c r="DY73" s="973"/>
      <c r="DZ73" s="978"/>
      <c r="EA73" s="978"/>
      <c r="EB73" s="966"/>
      <c r="EC73" s="966"/>
      <c r="ED73" s="966"/>
      <c r="EE73" s="966"/>
      <c r="EF73" s="966"/>
      <c r="EG73" s="966"/>
      <c r="EH73" s="965"/>
      <c r="EI73" s="966"/>
      <c r="EJ73" s="973"/>
      <c r="EK73" s="966"/>
      <c r="EL73" s="973"/>
      <c r="EM73" s="978"/>
      <c r="EN73" s="978"/>
      <c r="EO73" s="966"/>
      <c r="EP73" s="966"/>
      <c r="EQ73" s="966"/>
      <c r="ER73" s="966"/>
      <c r="ES73" s="966"/>
      <c r="ET73" s="966"/>
      <c r="EU73" s="965"/>
      <c r="EV73" s="966"/>
      <c r="EW73" s="973"/>
      <c r="EX73" s="966"/>
      <c r="EY73" s="973"/>
      <c r="EZ73" s="978"/>
      <c r="FA73" s="978"/>
      <c r="FB73" s="966"/>
      <c r="FC73" s="966"/>
      <c r="FD73" s="966"/>
      <c r="FE73" s="966"/>
      <c r="FF73" s="966"/>
      <c r="FG73" s="966"/>
      <c r="FH73" s="965"/>
      <c r="FI73" s="966"/>
      <c r="FJ73" s="973"/>
      <c r="FK73" s="966"/>
      <c r="FL73" s="973"/>
      <c r="FM73" s="978"/>
      <c r="FN73" s="978"/>
      <c r="FO73" s="966"/>
      <c r="FP73" s="966"/>
      <c r="FQ73" s="966"/>
      <c r="FR73" s="966"/>
      <c r="FS73" s="966"/>
      <c r="FT73" s="966"/>
      <c r="FU73" s="965"/>
      <c r="FV73" s="966"/>
      <c r="FW73" s="973"/>
      <c r="FX73" s="966"/>
      <c r="FY73" s="973"/>
      <c r="FZ73" s="978"/>
      <c r="GA73" s="978"/>
      <c r="GB73" s="966"/>
      <c r="GC73" s="966"/>
      <c r="GD73" s="966"/>
      <c r="GE73" s="966"/>
      <c r="GF73" s="966"/>
      <c r="GG73" s="966"/>
      <c r="GH73" s="965"/>
      <c r="GI73" s="966"/>
      <c r="GJ73" s="973"/>
      <c r="GK73" s="966"/>
      <c r="GL73" s="973"/>
      <c r="GM73" s="978"/>
      <c r="GN73" s="978"/>
      <c r="GO73" s="966"/>
      <c r="GP73" s="966"/>
      <c r="GQ73" s="966"/>
      <c r="GR73" s="966"/>
      <c r="GS73" s="966"/>
      <c r="GT73" s="966"/>
      <c r="GU73" s="965"/>
      <c r="GV73" s="966"/>
      <c r="GW73" s="973"/>
      <c r="GX73" s="966"/>
      <c r="GY73" s="973"/>
      <c r="GZ73" s="978"/>
      <c r="HA73" s="978"/>
      <c r="HB73" s="966"/>
      <c r="HC73" s="966"/>
      <c r="HD73" s="966"/>
      <c r="HE73" s="966"/>
      <c r="HF73" s="966"/>
      <c r="HG73" s="966"/>
      <c r="HH73" s="965"/>
      <c r="HI73" s="966"/>
      <c r="HJ73" s="973"/>
      <c r="HK73" s="966"/>
      <c r="HL73" s="973"/>
      <c r="HM73" s="978"/>
      <c r="HN73" s="978"/>
      <c r="HO73" s="966"/>
      <c r="HP73" s="966"/>
      <c r="HQ73" s="966"/>
      <c r="HR73" s="966"/>
      <c r="HS73" s="966"/>
      <c r="HT73" s="966"/>
      <c r="HU73" s="965"/>
      <c r="HV73" s="966"/>
      <c r="HW73" s="973"/>
      <c r="HX73" s="966"/>
      <c r="HY73" s="973"/>
      <c r="HZ73" s="978"/>
      <c r="IA73" s="978"/>
      <c r="IB73" s="966"/>
      <c r="IC73" s="966"/>
      <c r="ID73" s="966"/>
      <c r="IE73" s="966"/>
      <c r="IF73" s="966"/>
      <c r="IG73" s="966"/>
      <c r="IH73" s="965"/>
      <c r="II73" s="966"/>
      <c r="IJ73" s="973"/>
      <c r="IK73" s="966"/>
      <c r="IL73" s="973"/>
      <c r="IM73" s="978"/>
      <c r="IN73" s="978"/>
      <c r="IO73" s="966"/>
      <c r="IP73" s="966"/>
      <c r="IQ73" s="966"/>
      <c r="IR73" s="966"/>
      <c r="IS73" s="966"/>
      <c r="IT73" s="966"/>
      <c r="IU73" s="965"/>
      <c r="IV73" s="966"/>
      <c r="IW73" s="973"/>
      <c r="IX73" s="966"/>
      <c r="IY73" s="973"/>
      <c r="IZ73" s="978"/>
      <c r="JA73" s="978"/>
      <c r="JB73" s="966"/>
      <c r="JC73" s="966"/>
      <c r="JD73" s="966"/>
      <c r="JE73" s="966"/>
      <c r="JF73" s="966"/>
      <c r="JG73" s="966"/>
      <c r="JH73" s="965"/>
      <c r="JI73" s="966"/>
      <c r="JJ73" s="973"/>
      <c r="JK73" s="966"/>
      <c r="JL73" s="973"/>
      <c r="JM73" s="978"/>
      <c r="JN73" s="978"/>
      <c r="JO73" s="966"/>
      <c r="JP73" s="966"/>
      <c r="JQ73" s="966"/>
      <c r="JR73" s="966"/>
      <c r="JS73" s="966"/>
      <c r="JT73" s="966"/>
      <c r="JU73" s="965"/>
      <c r="JV73" s="966"/>
      <c r="JW73" s="973"/>
      <c r="JX73" s="966"/>
      <c r="JY73" s="973"/>
      <c r="JZ73" s="978"/>
      <c r="KA73" s="978"/>
      <c r="KB73" s="966"/>
      <c r="KC73" s="966"/>
      <c r="KD73" s="966"/>
      <c r="KE73" s="966"/>
      <c r="KF73" s="966"/>
      <c r="KG73" s="966"/>
      <c r="KH73" s="965"/>
      <c r="KI73" s="966"/>
      <c r="KJ73" s="973"/>
      <c r="KK73" s="966"/>
      <c r="KL73" s="973"/>
      <c r="KM73" s="978"/>
      <c r="KN73" s="978"/>
      <c r="KO73" s="966"/>
      <c r="KP73" s="966"/>
      <c r="KQ73" s="966"/>
      <c r="KR73" s="966"/>
      <c r="KS73" s="966"/>
      <c r="KT73" s="966"/>
      <c r="KU73" s="965"/>
      <c r="KV73" s="966"/>
      <c r="KW73" s="973"/>
      <c r="KX73" s="966"/>
      <c r="KY73" s="973"/>
      <c r="KZ73" s="978"/>
      <c r="LA73" s="978"/>
      <c r="LB73" s="966"/>
      <c r="LC73" s="966"/>
      <c r="LD73" s="966"/>
      <c r="LE73" s="966"/>
      <c r="LF73" s="966"/>
      <c r="LG73" s="966"/>
      <c r="LH73" s="965"/>
      <c r="LI73" s="966"/>
      <c r="LJ73" s="973"/>
      <c r="LK73" s="966"/>
      <c r="LL73" s="973"/>
      <c r="LM73" s="978"/>
      <c r="LN73" s="978"/>
      <c r="LO73" s="966"/>
      <c r="LP73" s="966"/>
      <c r="LQ73" s="966"/>
      <c r="LR73" s="966"/>
      <c r="LS73" s="966"/>
      <c r="LT73" s="966"/>
      <c r="LU73" s="965"/>
      <c r="LV73" s="966"/>
      <c r="LW73" s="973"/>
      <c r="LX73" s="966"/>
      <c r="LY73" s="973"/>
      <c r="LZ73" s="978"/>
      <c r="MA73" s="978"/>
      <c r="MB73" s="966"/>
      <c r="MC73" s="966"/>
      <c r="MD73" s="966"/>
      <c r="ME73" s="966"/>
      <c r="MF73" s="966"/>
      <c r="MG73" s="966"/>
    </row>
    <row r="74" spans="2:345">
      <c r="B74" s="196">
        <f>INDEX(Groups!$C$7:$C$65,MATCH(C74,Groups!$D$7:$D$65,0))</f>
        <v>63</v>
      </c>
      <c r="C74" s="197" t="str">
        <f>CalcJ!$P$27</f>
        <v>Jordanië</v>
      </c>
      <c r="D74" s="198">
        <f>INDEX(Groups!$C$7:$C$65,MATCH(E74,Groups!$D$7:$D$65,0))</f>
        <v>3</v>
      </c>
      <c r="E74" s="197" t="str">
        <f>CalcJ!$Q$27</f>
        <v>Argentinië</v>
      </c>
      <c r="F74" s="199" t="str">
        <f>CalcJ!$R$27</f>
        <v/>
      </c>
      <c r="G74" s="200" t="str">
        <f>CalcJ!$S$27</f>
        <v/>
      </c>
      <c r="I74" s="196">
        <f t="shared" si="18"/>
        <v>63</v>
      </c>
      <c r="J74" s="197" t="str">
        <f t="shared" si="39"/>
        <v>Jordanië</v>
      </c>
      <c r="K74" s="198">
        <f t="shared" si="43"/>
        <v>3</v>
      </c>
      <c r="L74" s="197" t="str">
        <f t="shared" si="40"/>
        <v>Argentinië</v>
      </c>
      <c r="M74" s="232"/>
      <c r="N74" s="232"/>
      <c r="O74" s="473"/>
      <c r="P74" s="198" t="str">
        <f t="shared" si="41"/>
        <v/>
      </c>
      <c r="Q74" s="198" t="str">
        <f>IF((P74&lt;&gt;""),IF(OR($F74&lt;&gt;$G74,PrSettings!$M$4="●"),(($F74-$G74)=(M74-N74))*1,0),"")</f>
        <v/>
      </c>
      <c r="R74" s="198" t="str">
        <f t="shared" si="42"/>
        <v/>
      </c>
      <c r="S74" s="198" t="str">
        <f>IF(P74&lt;&gt;"",IF(ABS($F74-$G74)&gt;=PrSettings!$M$7,(ABS($F74-$G74-M74+N74)&lt;=1)*1,IF(AND(P74,$F74=$G74,$F74&gt;=PrSettings!$M$6),(ABS(M74-$F74)&lt;=1)*1,IF(AND(P74,$F74+$G74&gt;=PrSettings!$M$8),(ABS(M74-$F74)+ABS(N74-$G74)&lt;=1)*1,""))),"")</f>
        <v/>
      </c>
      <c r="T74" s="990"/>
      <c r="U74" s="965"/>
      <c r="V74" s="966"/>
      <c r="W74" s="973"/>
      <c r="X74" s="966"/>
      <c r="Y74" s="973"/>
      <c r="Z74" s="978"/>
      <c r="AA74" s="978"/>
      <c r="AB74" s="966"/>
      <c r="AC74" s="966"/>
      <c r="AD74" s="966"/>
      <c r="AE74" s="966"/>
      <c r="AF74" s="966"/>
      <c r="AG74" s="966"/>
      <c r="AH74" s="965"/>
      <c r="AI74" s="966"/>
      <c r="AJ74" s="973"/>
      <c r="AK74" s="966"/>
      <c r="AL74" s="973"/>
      <c r="AM74" s="978"/>
      <c r="AN74" s="978"/>
      <c r="AO74" s="966"/>
      <c r="AP74" s="966"/>
      <c r="AQ74" s="966"/>
      <c r="AR74" s="966"/>
      <c r="AS74" s="966"/>
      <c r="AT74" s="966"/>
      <c r="AU74" s="965"/>
      <c r="AV74" s="966"/>
      <c r="AW74" s="973"/>
      <c r="AX74" s="966"/>
      <c r="AY74" s="973"/>
      <c r="AZ74" s="978"/>
      <c r="BA74" s="978"/>
      <c r="BB74" s="966"/>
      <c r="BC74" s="966"/>
      <c r="BD74" s="966"/>
      <c r="BE74" s="966"/>
      <c r="BF74" s="966"/>
      <c r="BG74" s="966"/>
      <c r="BH74" s="965"/>
      <c r="BI74" s="966"/>
      <c r="BJ74" s="973"/>
      <c r="BK74" s="966"/>
      <c r="BL74" s="973"/>
      <c r="BM74" s="978"/>
      <c r="BN74" s="978"/>
      <c r="BO74" s="966"/>
      <c r="BP74" s="966"/>
      <c r="BQ74" s="966"/>
      <c r="BR74" s="966"/>
      <c r="BS74" s="966"/>
      <c r="BT74" s="966"/>
      <c r="BU74" s="965"/>
      <c r="BV74" s="966"/>
      <c r="BW74" s="973"/>
      <c r="BX74" s="966"/>
      <c r="BY74" s="973"/>
      <c r="BZ74" s="978"/>
      <c r="CA74" s="978"/>
      <c r="CB74" s="966"/>
      <c r="CC74" s="966"/>
      <c r="CD74" s="966"/>
      <c r="CE74" s="966"/>
      <c r="CF74" s="966"/>
      <c r="CG74" s="966"/>
      <c r="CH74" s="965"/>
      <c r="CI74" s="966"/>
      <c r="CJ74" s="973"/>
      <c r="CK74" s="966"/>
      <c r="CL74" s="973"/>
      <c r="CM74" s="978"/>
      <c r="CN74" s="978"/>
      <c r="CO74" s="966"/>
      <c r="CP74" s="966"/>
      <c r="CQ74" s="966"/>
      <c r="CR74" s="966"/>
      <c r="CS74" s="966"/>
      <c r="CT74" s="966"/>
      <c r="CU74" s="965"/>
      <c r="CV74" s="966"/>
      <c r="CW74" s="973"/>
      <c r="CX74" s="966"/>
      <c r="CY74" s="973"/>
      <c r="CZ74" s="978"/>
      <c r="DA74" s="978"/>
      <c r="DB74" s="966"/>
      <c r="DC74" s="966"/>
      <c r="DD74" s="966"/>
      <c r="DE74" s="966"/>
      <c r="DF74" s="966"/>
      <c r="DG74" s="966"/>
      <c r="DH74" s="965"/>
      <c r="DI74" s="966"/>
      <c r="DJ74" s="973"/>
      <c r="DK74" s="966"/>
      <c r="DL74" s="973"/>
      <c r="DM74" s="978"/>
      <c r="DN74" s="978"/>
      <c r="DO74" s="966"/>
      <c r="DP74" s="966"/>
      <c r="DQ74" s="966"/>
      <c r="DR74" s="966"/>
      <c r="DS74" s="966"/>
      <c r="DT74" s="966"/>
      <c r="DU74" s="965"/>
      <c r="DV74" s="966"/>
      <c r="DW74" s="973"/>
      <c r="DX74" s="966"/>
      <c r="DY74" s="973"/>
      <c r="DZ74" s="978"/>
      <c r="EA74" s="978"/>
      <c r="EB74" s="966"/>
      <c r="EC74" s="966"/>
      <c r="ED74" s="966"/>
      <c r="EE74" s="966"/>
      <c r="EF74" s="966"/>
      <c r="EG74" s="966"/>
      <c r="EH74" s="965"/>
      <c r="EI74" s="966"/>
      <c r="EJ74" s="973"/>
      <c r="EK74" s="966"/>
      <c r="EL74" s="973"/>
      <c r="EM74" s="978"/>
      <c r="EN74" s="978"/>
      <c r="EO74" s="966"/>
      <c r="EP74" s="966"/>
      <c r="EQ74" s="966"/>
      <c r="ER74" s="966"/>
      <c r="ES74" s="966"/>
      <c r="ET74" s="966"/>
      <c r="EU74" s="965"/>
      <c r="EV74" s="966"/>
      <c r="EW74" s="973"/>
      <c r="EX74" s="966"/>
      <c r="EY74" s="973"/>
      <c r="EZ74" s="978"/>
      <c r="FA74" s="978"/>
      <c r="FB74" s="966"/>
      <c r="FC74" s="966"/>
      <c r="FD74" s="966"/>
      <c r="FE74" s="966"/>
      <c r="FF74" s="966"/>
      <c r="FG74" s="966"/>
      <c r="FH74" s="965"/>
      <c r="FI74" s="966"/>
      <c r="FJ74" s="973"/>
      <c r="FK74" s="966"/>
      <c r="FL74" s="973"/>
      <c r="FM74" s="978"/>
      <c r="FN74" s="978"/>
      <c r="FO74" s="966"/>
      <c r="FP74" s="966"/>
      <c r="FQ74" s="966"/>
      <c r="FR74" s="966"/>
      <c r="FS74" s="966"/>
      <c r="FT74" s="966"/>
      <c r="FU74" s="965"/>
      <c r="FV74" s="966"/>
      <c r="FW74" s="973"/>
      <c r="FX74" s="966"/>
      <c r="FY74" s="973"/>
      <c r="FZ74" s="978"/>
      <c r="GA74" s="978"/>
      <c r="GB74" s="966"/>
      <c r="GC74" s="966"/>
      <c r="GD74" s="966"/>
      <c r="GE74" s="966"/>
      <c r="GF74" s="966"/>
      <c r="GG74" s="966"/>
      <c r="GH74" s="965"/>
      <c r="GI74" s="966"/>
      <c r="GJ74" s="973"/>
      <c r="GK74" s="966"/>
      <c r="GL74" s="973"/>
      <c r="GM74" s="978"/>
      <c r="GN74" s="978"/>
      <c r="GO74" s="966"/>
      <c r="GP74" s="966"/>
      <c r="GQ74" s="966"/>
      <c r="GR74" s="966"/>
      <c r="GS74" s="966"/>
      <c r="GT74" s="966"/>
      <c r="GU74" s="965"/>
      <c r="GV74" s="966"/>
      <c r="GW74" s="973"/>
      <c r="GX74" s="966"/>
      <c r="GY74" s="973"/>
      <c r="GZ74" s="978"/>
      <c r="HA74" s="978"/>
      <c r="HB74" s="966"/>
      <c r="HC74" s="966"/>
      <c r="HD74" s="966"/>
      <c r="HE74" s="966"/>
      <c r="HF74" s="966"/>
      <c r="HG74" s="966"/>
      <c r="HH74" s="965"/>
      <c r="HI74" s="966"/>
      <c r="HJ74" s="973"/>
      <c r="HK74" s="966"/>
      <c r="HL74" s="973"/>
      <c r="HM74" s="978"/>
      <c r="HN74" s="978"/>
      <c r="HO74" s="966"/>
      <c r="HP74" s="966"/>
      <c r="HQ74" s="966"/>
      <c r="HR74" s="966"/>
      <c r="HS74" s="966"/>
      <c r="HT74" s="966"/>
      <c r="HU74" s="965"/>
      <c r="HV74" s="966"/>
      <c r="HW74" s="973"/>
      <c r="HX74" s="966"/>
      <c r="HY74" s="973"/>
      <c r="HZ74" s="978"/>
      <c r="IA74" s="978"/>
      <c r="IB74" s="966"/>
      <c r="IC74" s="966"/>
      <c r="ID74" s="966"/>
      <c r="IE74" s="966"/>
      <c r="IF74" s="966"/>
      <c r="IG74" s="966"/>
      <c r="IH74" s="965"/>
      <c r="II74" s="966"/>
      <c r="IJ74" s="973"/>
      <c r="IK74" s="966"/>
      <c r="IL74" s="973"/>
      <c r="IM74" s="978"/>
      <c r="IN74" s="978"/>
      <c r="IO74" s="966"/>
      <c r="IP74" s="966"/>
      <c r="IQ74" s="966"/>
      <c r="IR74" s="966"/>
      <c r="IS74" s="966"/>
      <c r="IT74" s="966"/>
      <c r="IU74" s="965"/>
      <c r="IV74" s="966"/>
      <c r="IW74" s="973"/>
      <c r="IX74" s="966"/>
      <c r="IY74" s="973"/>
      <c r="IZ74" s="978"/>
      <c r="JA74" s="978"/>
      <c r="JB74" s="966"/>
      <c r="JC74" s="966"/>
      <c r="JD74" s="966"/>
      <c r="JE74" s="966"/>
      <c r="JF74" s="966"/>
      <c r="JG74" s="966"/>
      <c r="JH74" s="965"/>
      <c r="JI74" s="966"/>
      <c r="JJ74" s="973"/>
      <c r="JK74" s="966"/>
      <c r="JL74" s="973"/>
      <c r="JM74" s="978"/>
      <c r="JN74" s="978"/>
      <c r="JO74" s="966"/>
      <c r="JP74" s="966"/>
      <c r="JQ74" s="966"/>
      <c r="JR74" s="966"/>
      <c r="JS74" s="966"/>
      <c r="JT74" s="966"/>
      <c r="JU74" s="965"/>
      <c r="JV74" s="966"/>
      <c r="JW74" s="973"/>
      <c r="JX74" s="966"/>
      <c r="JY74" s="973"/>
      <c r="JZ74" s="978"/>
      <c r="KA74" s="978"/>
      <c r="KB74" s="966"/>
      <c r="KC74" s="966"/>
      <c r="KD74" s="966"/>
      <c r="KE74" s="966"/>
      <c r="KF74" s="966"/>
      <c r="KG74" s="966"/>
      <c r="KH74" s="965"/>
      <c r="KI74" s="966"/>
      <c r="KJ74" s="973"/>
      <c r="KK74" s="966"/>
      <c r="KL74" s="973"/>
      <c r="KM74" s="978"/>
      <c r="KN74" s="978"/>
      <c r="KO74" s="966"/>
      <c r="KP74" s="966"/>
      <c r="KQ74" s="966"/>
      <c r="KR74" s="966"/>
      <c r="KS74" s="966"/>
      <c r="KT74" s="966"/>
      <c r="KU74" s="965"/>
      <c r="KV74" s="966"/>
      <c r="KW74" s="973"/>
      <c r="KX74" s="966"/>
      <c r="KY74" s="973"/>
      <c r="KZ74" s="978"/>
      <c r="LA74" s="978"/>
      <c r="LB74" s="966"/>
      <c r="LC74" s="966"/>
      <c r="LD74" s="966"/>
      <c r="LE74" s="966"/>
      <c r="LF74" s="966"/>
      <c r="LG74" s="966"/>
      <c r="LH74" s="965"/>
      <c r="LI74" s="966"/>
      <c r="LJ74" s="973"/>
      <c r="LK74" s="966"/>
      <c r="LL74" s="973"/>
      <c r="LM74" s="978"/>
      <c r="LN74" s="978"/>
      <c r="LO74" s="966"/>
      <c r="LP74" s="966"/>
      <c r="LQ74" s="966"/>
      <c r="LR74" s="966"/>
      <c r="LS74" s="966"/>
      <c r="LT74" s="966"/>
      <c r="LU74" s="965"/>
      <c r="LV74" s="966"/>
      <c r="LW74" s="973"/>
      <c r="LX74" s="966"/>
      <c r="LY74" s="973"/>
      <c r="LZ74" s="978"/>
      <c r="MA74" s="978"/>
      <c r="MB74" s="966"/>
      <c r="MC74" s="966"/>
      <c r="MD74" s="966"/>
      <c r="ME74" s="966"/>
      <c r="MF74" s="966"/>
      <c r="MG74" s="966"/>
    </row>
    <row r="75" spans="2:345" ht="24" customHeight="1">
      <c r="B75" s="205" t="str">
        <f>Language!$E$130&amp;" K"</f>
        <v>Groep K</v>
      </c>
      <c r="C75" s="206"/>
      <c r="D75" s="211"/>
      <c r="E75" s="208"/>
      <c r="F75" s="212"/>
      <c r="G75" s="213"/>
      <c r="I75" s="205" t="str">
        <f t="shared" si="18"/>
        <v>Groep K</v>
      </c>
      <c r="J75" s="211"/>
      <c r="K75" s="211"/>
      <c r="L75" s="208"/>
      <c r="M75" s="236"/>
      <c r="N75" s="237"/>
      <c r="O75" s="209"/>
      <c r="P75" s="220"/>
      <c r="Q75" s="220"/>
      <c r="R75" s="208"/>
      <c r="S75" s="208"/>
      <c r="T75" s="987"/>
      <c r="U75" s="965"/>
      <c r="V75" s="972"/>
      <c r="W75" s="966"/>
      <c r="X75" s="966"/>
      <c r="Y75" s="973"/>
      <c r="Z75" s="974"/>
      <c r="AA75" s="975"/>
      <c r="AB75" s="976"/>
      <c r="AC75" s="977"/>
      <c r="AD75" s="977"/>
      <c r="AE75" s="973"/>
      <c r="AF75" s="973"/>
      <c r="AG75" s="973"/>
      <c r="AH75" s="965"/>
      <c r="AI75" s="972"/>
      <c r="AJ75" s="966"/>
      <c r="AK75" s="966"/>
      <c r="AL75" s="973"/>
      <c r="AM75" s="974"/>
      <c r="AN75" s="975"/>
      <c r="AO75" s="976"/>
      <c r="AP75" s="977"/>
      <c r="AQ75" s="977"/>
      <c r="AR75" s="973"/>
      <c r="AS75" s="973"/>
      <c r="AT75" s="973"/>
      <c r="AU75" s="965"/>
      <c r="AV75" s="972"/>
      <c r="AW75" s="966"/>
      <c r="AX75" s="966"/>
      <c r="AY75" s="973"/>
      <c r="AZ75" s="974"/>
      <c r="BA75" s="975"/>
      <c r="BB75" s="976"/>
      <c r="BC75" s="977"/>
      <c r="BD75" s="977"/>
      <c r="BE75" s="973"/>
      <c r="BF75" s="973"/>
      <c r="BG75" s="973"/>
      <c r="BH75" s="965"/>
      <c r="BI75" s="972"/>
      <c r="BJ75" s="966"/>
      <c r="BK75" s="966"/>
      <c r="BL75" s="973"/>
      <c r="BM75" s="974"/>
      <c r="BN75" s="975"/>
      <c r="BO75" s="976"/>
      <c r="BP75" s="977"/>
      <c r="BQ75" s="977"/>
      <c r="BR75" s="973"/>
      <c r="BS75" s="973"/>
      <c r="BT75" s="973"/>
      <c r="BU75" s="965"/>
      <c r="BV75" s="972"/>
      <c r="BW75" s="966"/>
      <c r="BX75" s="966"/>
      <c r="BY75" s="973"/>
      <c r="BZ75" s="974"/>
      <c r="CA75" s="975"/>
      <c r="CB75" s="976"/>
      <c r="CC75" s="977"/>
      <c r="CD75" s="977"/>
      <c r="CE75" s="973"/>
      <c r="CF75" s="973"/>
      <c r="CG75" s="973"/>
      <c r="CH75" s="965"/>
      <c r="CI75" s="972"/>
      <c r="CJ75" s="966"/>
      <c r="CK75" s="966"/>
      <c r="CL75" s="973"/>
      <c r="CM75" s="974"/>
      <c r="CN75" s="975"/>
      <c r="CO75" s="976"/>
      <c r="CP75" s="977"/>
      <c r="CQ75" s="977"/>
      <c r="CR75" s="973"/>
      <c r="CS75" s="973"/>
      <c r="CT75" s="973"/>
      <c r="CU75" s="965"/>
      <c r="CV75" s="972"/>
      <c r="CW75" s="966"/>
      <c r="CX75" s="966"/>
      <c r="CY75" s="973"/>
      <c r="CZ75" s="974"/>
      <c r="DA75" s="975"/>
      <c r="DB75" s="976"/>
      <c r="DC75" s="977"/>
      <c r="DD75" s="977"/>
      <c r="DE75" s="973"/>
      <c r="DF75" s="973"/>
      <c r="DG75" s="973"/>
      <c r="DH75" s="965"/>
      <c r="DI75" s="972"/>
      <c r="DJ75" s="966"/>
      <c r="DK75" s="966"/>
      <c r="DL75" s="973"/>
      <c r="DM75" s="974"/>
      <c r="DN75" s="975"/>
      <c r="DO75" s="976"/>
      <c r="DP75" s="977"/>
      <c r="DQ75" s="977"/>
      <c r="DR75" s="973"/>
      <c r="DS75" s="973"/>
      <c r="DT75" s="973"/>
      <c r="DU75" s="965"/>
      <c r="DV75" s="972"/>
      <c r="DW75" s="966"/>
      <c r="DX75" s="966"/>
      <c r="DY75" s="973"/>
      <c r="DZ75" s="974"/>
      <c r="EA75" s="975"/>
      <c r="EB75" s="976"/>
      <c r="EC75" s="977"/>
      <c r="ED75" s="977"/>
      <c r="EE75" s="973"/>
      <c r="EF75" s="973"/>
      <c r="EG75" s="973"/>
      <c r="EH75" s="965"/>
      <c r="EI75" s="972"/>
      <c r="EJ75" s="966"/>
      <c r="EK75" s="966"/>
      <c r="EL75" s="973"/>
      <c r="EM75" s="974"/>
      <c r="EN75" s="975"/>
      <c r="EO75" s="976"/>
      <c r="EP75" s="977"/>
      <c r="EQ75" s="977"/>
      <c r="ER75" s="973"/>
      <c r="ES75" s="973"/>
      <c r="ET75" s="973"/>
      <c r="EU75" s="965"/>
      <c r="EV75" s="972"/>
      <c r="EW75" s="966"/>
      <c r="EX75" s="966"/>
      <c r="EY75" s="973"/>
      <c r="EZ75" s="974"/>
      <c r="FA75" s="975"/>
      <c r="FB75" s="976"/>
      <c r="FC75" s="977"/>
      <c r="FD75" s="977"/>
      <c r="FE75" s="973"/>
      <c r="FF75" s="973"/>
      <c r="FG75" s="973"/>
      <c r="FH75" s="965"/>
      <c r="FI75" s="972"/>
      <c r="FJ75" s="966"/>
      <c r="FK75" s="966"/>
      <c r="FL75" s="973"/>
      <c r="FM75" s="974"/>
      <c r="FN75" s="975"/>
      <c r="FO75" s="976"/>
      <c r="FP75" s="977"/>
      <c r="FQ75" s="977"/>
      <c r="FR75" s="973"/>
      <c r="FS75" s="973"/>
      <c r="FT75" s="973"/>
      <c r="FU75" s="965"/>
      <c r="FV75" s="972"/>
      <c r="FW75" s="966"/>
      <c r="FX75" s="966"/>
      <c r="FY75" s="973"/>
      <c r="FZ75" s="974"/>
      <c r="GA75" s="975"/>
      <c r="GB75" s="976"/>
      <c r="GC75" s="977"/>
      <c r="GD75" s="977"/>
      <c r="GE75" s="973"/>
      <c r="GF75" s="973"/>
      <c r="GG75" s="973"/>
      <c r="GH75" s="965"/>
      <c r="GI75" s="972"/>
      <c r="GJ75" s="966"/>
      <c r="GK75" s="966"/>
      <c r="GL75" s="973"/>
      <c r="GM75" s="974"/>
      <c r="GN75" s="975"/>
      <c r="GO75" s="976"/>
      <c r="GP75" s="977"/>
      <c r="GQ75" s="977"/>
      <c r="GR75" s="973"/>
      <c r="GS75" s="973"/>
      <c r="GT75" s="973"/>
      <c r="GU75" s="965"/>
      <c r="GV75" s="972"/>
      <c r="GW75" s="966"/>
      <c r="GX75" s="966"/>
      <c r="GY75" s="973"/>
      <c r="GZ75" s="974"/>
      <c r="HA75" s="975"/>
      <c r="HB75" s="976"/>
      <c r="HC75" s="977"/>
      <c r="HD75" s="977"/>
      <c r="HE75" s="973"/>
      <c r="HF75" s="973"/>
      <c r="HG75" s="973"/>
      <c r="HH75" s="965"/>
      <c r="HI75" s="972"/>
      <c r="HJ75" s="966"/>
      <c r="HK75" s="966"/>
      <c r="HL75" s="973"/>
      <c r="HM75" s="974"/>
      <c r="HN75" s="975"/>
      <c r="HO75" s="976"/>
      <c r="HP75" s="977"/>
      <c r="HQ75" s="977"/>
      <c r="HR75" s="973"/>
      <c r="HS75" s="973"/>
      <c r="HT75" s="973"/>
      <c r="HU75" s="965"/>
      <c r="HV75" s="972"/>
      <c r="HW75" s="966"/>
      <c r="HX75" s="966"/>
      <c r="HY75" s="973"/>
      <c r="HZ75" s="974"/>
      <c r="IA75" s="975"/>
      <c r="IB75" s="976"/>
      <c r="IC75" s="977"/>
      <c r="ID75" s="977"/>
      <c r="IE75" s="973"/>
      <c r="IF75" s="973"/>
      <c r="IG75" s="973"/>
      <c r="IH75" s="965"/>
      <c r="II75" s="972"/>
      <c r="IJ75" s="966"/>
      <c r="IK75" s="966"/>
      <c r="IL75" s="973"/>
      <c r="IM75" s="974"/>
      <c r="IN75" s="975"/>
      <c r="IO75" s="976"/>
      <c r="IP75" s="977"/>
      <c r="IQ75" s="977"/>
      <c r="IR75" s="973"/>
      <c r="IS75" s="973"/>
      <c r="IT75" s="973"/>
      <c r="IU75" s="965"/>
      <c r="IV75" s="972"/>
      <c r="IW75" s="966"/>
      <c r="IX75" s="966"/>
      <c r="IY75" s="973"/>
      <c r="IZ75" s="974"/>
      <c r="JA75" s="975"/>
      <c r="JB75" s="976"/>
      <c r="JC75" s="977"/>
      <c r="JD75" s="977"/>
      <c r="JE75" s="973"/>
      <c r="JF75" s="973"/>
      <c r="JG75" s="973"/>
      <c r="JH75" s="965"/>
      <c r="JI75" s="972"/>
      <c r="JJ75" s="966"/>
      <c r="JK75" s="966"/>
      <c r="JL75" s="973"/>
      <c r="JM75" s="974"/>
      <c r="JN75" s="975"/>
      <c r="JO75" s="976"/>
      <c r="JP75" s="977"/>
      <c r="JQ75" s="977"/>
      <c r="JR75" s="973"/>
      <c r="JS75" s="973"/>
      <c r="JT75" s="973"/>
      <c r="JU75" s="965"/>
      <c r="JV75" s="972"/>
      <c r="JW75" s="966"/>
      <c r="JX75" s="966"/>
      <c r="JY75" s="973"/>
      <c r="JZ75" s="974"/>
      <c r="KA75" s="975"/>
      <c r="KB75" s="976"/>
      <c r="KC75" s="977"/>
      <c r="KD75" s="977"/>
      <c r="KE75" s="973"/>
      <c r="KF75" s="973"/>
      <c r="KG75" s="973"/>
      <c r="KH75" s="965"/>
      <c r="KI75" s="972"/>
      <c r="KJ75" s="966"/>
      <c r="KK75" s="966"/>
      <c r="KL75" s="973"/>
      <c r="KM75" s="974"/>
      <c r="KN75" s="975"/>
      <c r="KO75" s="976"/>
      <c r="KP75" s="977"/>
      <c r="KQ75" s="977"/>
      <c r="KR75" s="973"/>
      <c r="KS75" s="973"/>
      <c r="KT75" s="973"/>
      <c r="KU75" s="965"/>
      <c r="KV75" s="972"/>
      <c r="KW75" s="966"/>
      <c r="KX75" s="966"/>
      <c r="KY75" s="973"/>
      <c r="KZ75" s="974"/>
      <c r="LA75" s="975"/>
      <c r="LB75" s="976"/>
      <c r="LC75" s="977"/>
      <c r="LD75" s="977"/>
      <c r="LE75" s="973"/>
      <c r="LF75" s="973"/>
      <c r="LG75" s="973"/>
      <c r="LH75" s="965"/>
      <c r="LI75" s="972"/>
      <c r="LJ75" s="966"/>
      <c r="LK75" s="966"/>
      <c r="LL75" s="973"/>
      <c r="LM75" s="974"/>
      <c r="LN75" s="975"/>
      <c r="LO75" s="976"/>
      <c r="LP75" s="977"/>
      <c r="LQ75" s="977"/>
      <c r="LR75" s="973"/>
      <c r="LS75" s="973"/>
      <c r="LT75" s="973"/>
      <c r="LU75" s="965"/>
      <c r="LV75" s="972"/>
      <c r="LW75" s="966"/>
      <c r="LX75" s="966"/>
      <c r="LY75" s="973"/>
      <c r="LZ75" s="974"/>
      <c r="MA75" s="975"/>
      <c r="MB75" s="976"/>
      <c r="MC75" s="977"/>
      <c r="MD75" s="977"/>
      <c r="ME75" s="973"/>
      <c r="MF75" s="973"/>
      <c r="MG75" s="973"/>
    </row>
    <row r="76" spans="2:345">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18"/>
        <v>5</v>
      </c>
      <c r="J76" s="197" t="str">
        <f t="shared" ref="J76:J81" si="44">$C76</f>
        <v>Portugal</v>
      </c>
      <c r="K76" s="198">
        <f t="shared" ref="K76:K81" si="45">$D76</f>
        <v>46</v>
      </c>
      <c r="L76" s="197" t="str">
        <f t="shared" ref="L76:L81" si="46">$E76</f>
        <v>DR Congo</v>
      </c>
      <c r="M76" s="232"/>
      <c r="N76" s="232"/>
      <c r="O76" s="227"/>
      <c r="P76" s="198" t="str">
        <f t="shared" ref="P76:P81" si="47">IF(($F76&lt;&gt;"")*($G76&lt;&gt;"")*(M76&lt;&gt;"")*(N76&lt;&gt;""),($F76&gt;$G76)*(M76&gt;N76)+($F76=$G76)*(M76=N76)+($F76&lt;$G76)*(M76&lt;N76),"")</f>
        <v/>
      </c>
      <c r="Q76" s="198" t="str">
        <f>IF((P76&lt;&gt;""),IF(OR($F76&lt;&gt;$G76,PrSettings!$M$4="●"),(($F76-$G76)=(M76-N76))*1,0),"")</f>
        <v/>
      </c>
      <c r="R76" s="198" t="str">
        <f t="shared" ref="R76:R81" si="48">IF((P76&lt;&gt;""),($F76=M76)*($G76=N76),"")</f>
        <v/>
      </c>
      <c r="S76" s="198" t="str">
        <f>IF(P76&lt;&gt;"",IF(ABS($F76-$G76)&gt;=PrSettings!$M$7,(ABS($F76-$G76-M76+N76)&lt;=1)*1,IF(AND(P76,$F76=$G76,$F76&gt;=PrSettings!$M$6),(ABS(M76-$F76)&lt;=1)*1,IF(AND(P76,$F76+$G76&gt;=PrSettings!$M$8),(ABS(M76-$F76)+ABS(N76-$G76)&lt;=1)*1,""))),"")</f>
        <v/>
      </c>
      <c r="T76" s="988"/>
      <c r="U76" s="965"/>
      <c r="V76" s="966"/>
      <c r="W76" s="973"/>
      <c r="X76" s="966"/>
      <c r="Y76" s="973"/>
      <c r="Z76" s="978"/>
      <c r="AA76" s="978"/>
      <c r="AB76" s="966"/>
      <c r="AC76" s="966"/>
      <c r="AD76" s="966"/>
      <c r="AE76" s="966"/>
      <c r="AF76" s="966"/>
      <c r="AG76" s="966"/>
      <c r="AH76" s="965"/>
      <c r="AI76" s="966"/>
      <c r="AJ76" s="973"/>
      <c r="AK76" s="966"/>
      <c r="AL76" s="973"/>
      <c r="AM76" s="978"/>
      <c r="AN76" s="978"/>
      <c r="AO76" s="966"/>
      <c r="AP76" s="966"/>
      <c r="AQ76" s="966"/>
      <c r="AR76" s="966"/>
      <c r="AS76" s="966"/>
      <c r="AT76" s="966"/>
      <c r="AU76" s="965"/>
      <c r="AV76" s="966"/>
      <c r="AW76" s="973"/>
      <c r="AX76" s="966"/>
      <c r="AY76" s="973"/>
      <c r="AZ76" s="978"/>
      <c r="BA76" s="978"/>
      <c r="BB76" s="966"/>
      <c r="BC76" s="966"/>
      <c r="BD76" s="966"/>
      <c r="BE76" s="966"/>
      <c r="BF76" s="966"/>
      <c r="BG76" s="966"/>
      <c r="BH76" s="965"/>
      <c r="BI76" s="966"/>
      <c r="BJ76" s="973"/>
      <c r="BK76" s="966"/>
      <c r="BL76" s="973"/>
      <c r="BM76" s="978"/>
      <c r="BN76" s="978"/>
      <c r="BO76" s="966"/>
      <c r="BP76" s="966"/>
      <c r="BQ76" s="966"/>
      <c r="BR76" s="966"/>
      <c r="BS76" s="966"/>
      <c r="BT76" s="966"/>
      <c r="BU76" s="965"/>
      <c r="BV76" s="966"/>
      <c r="BW76" s="973"/>
      <c r="BX76" s="966"/>
      <c r="BY76" s="973"/>
      <c r="BZ76" s="978"/>
      <c r="CA76" s="978"/>
      <c r="CB76" s="966"/>
      <c r="CC76" s="966"/>
      <c r="CD76" s="966"/>
      <c r="CE76" s="966"/>
      <c r="CF76" s="966"/>
      <c r="CG76" s="966"/>
      <c r="CH76" s="965"/>
      <c r="CI76" s="966"/>
      <c r="CJ76" s="973"/>
      <c r="CK76" s="966"/>
      <c r="CL76" s="973"/>
      <c r="CM76" s="978"/>
      <c r="CN76" s="978"/>
      <c r="CO76" s="966"/>
      <c r="CP76" s="966"/>
      <c r="CQ76" s="966"/>
      <c r="CR76" s="966"/>
      <c r="CS76" s="966"/>
      <c r="CT76" s="966"/>
      <c r="CU76" s="965"/>
      <c r="CV76" s="966"/>
      <c r="CW76" s="973"/>
      <c r="CX76" s="966"/>
      <c r="CY76" s="973"/>
      <c r="CZ76" s="978"/>
      <c r="DA76" s="978"/>
      <c r="DB76" s="966"/>
      <c r="DC76" s="966"/>
      <c r="DD76" s="966"/>
      <c r="DE76" s="966"/>
      <c r="DF76" s="966"/>
      <c r="DG76" s="966"/>
      <c r="DH76" s="965"/>
      <c r="DI76" s="966"/>
      <c r="DJ76" s="973"/>
      <c r="DK76" s="966"/>
      <c r="DL76" s="973"/>
      <c r="DM76" s="978"/>
      <c r="DN76" s="978"/>
      <c r="DO76" s="966"/>
      <c r="DP76" s="966"/>
      <c r="DQ76" s="966"/>
      <c r="DR76" s="966"/>
      <c r="DS76" s="966"/>
      <c r="DT76" s="966"/>
      <c r="DU76" s="965"/>
      <c r="DV76" s="966"/>
      <c r="DW76" s="973"/>
      <c r="DX76" s="966"/>
      <c r="DY76" s="973"/>
      <c r="DZ76" s="978"/>
      <c r="EA76" s="978"/>
      <c r="EB76" s="966"/>
      <c r="EC76" s="966"/>
      <c r="ED76" s="966"/>
      <c r="EE76" s="966"/>
      <c r="EF76" s="966"/>
      <c r="EG76" s="966"/>
      <c r="EH76" s="965"/>
      <c r="EI76" s="966"/>
      <c r="EJ76" s="973"/>
      <c r="EK76" s="966"/>
      <c r="EL76" s="973"/>
      <c r="EM76" s="978"/>
      <c r="EN76" s="978"/>
      <c r="EO76" s="966"/>
      <c r="EP76" s="966"/>
      <c r="EQ76" s="966"/>
      <c r="ER76" s="966"/>
      <c r="ES76" s="966"/>
      <c r="ET76" s="966"/>
      <c r="EU76" s="965"/>
      <c r="EV76" s="966"/>
      <c r="EW76" s="973"/>
      <c r="EX76" s="966"/>
      <c r="EY76" s="973"/>
      <c r="EZ76" s="978"/>
      <c r="FA76" s="978"/>
      <c r="FB76" s="966"/>
      <c r="FC76" s="966"/>
      <c r="FD76" s="966"/>
      <c r="FE76" s="966"/>
      <c r="FF76" s="966"/>
      <c r="FG76" s="966"/>
      <c r="FH76" s="965"/>
      <c r="FI76" s="966"/>
      <c r="FJ76" s="973"/>
      <c r="FK76" s="966"/>
      <c r="FL76" s="973"/>
      <c r="FM76" s="978"/>
      <c r="FN76" s="978"/>
      <c r="FO76" s="966"/>
      <c r="FP76" s="966"/>
      <c r="FQ76" s="966"/>
      <c r="FR76" s="966"/>
      <c r="FS76" s="966"/>
      <c r="FT76" s="966"/>
      <c r="FU76" s="965"/>
      <c r="FV76" s="966"/>
      <c r="FW76" s="973"/>
      <c r="FX76" s="966"/>
      <c r="FY76" s="973"/>
      <c r="FZ76" s="978"/>
      <c r="GA76" s="978"/>
      <c r="GB76" s="966"/>
      <c r="GC76" s="966"/>
      <c r="GD76" s="966"/>
      <c r="GE76" s="966"/>
      <c r="GF76" s="966"/>
      <c r="GG76" s="966"/>
      <c r="GH76" s="965"/>
      <c r="GI76" s="966"/>
      <c r="GJ76" s="973"/>
      <c r="GK76" s="966"/>
      <c r="GL76" s="973"/>
      <c r="GM76" s="978"/>
      <c r="GN76" s="978"/>
      <c r="GO76" s="966"/>
      <c r="GP76" s="966"/>
      <c r="GQ76" s="966"/>
      <c r="GR76" s="966"/>
      <c r="GS76" s="966"/>
      <c r="GT76" s="966"/>
      <c r="GU76" s="965"/>
      <c r="GV76" s="966"/>
      <c r="GW76" s="973"/>
      <c r="GX76" s="966"/>
      <c r="GY76" s="973"/>
      <c r="GZ76" s="978"/>
      <c r="HA76" s="978"/>
      <c r="HB76" s="966"/>
      <c r="HC76" s="966"/>
      <c r="HD76" s="966"/>
      <c r="HE76" s="966"/>
      <c r="HF76" s="966"/>
      <c r="HG76" s="966"/>
      <c r="HH76" s="965"/>
      <c r="HI76" s="966"/>
      <c r="HJ76" s="973"/>
      <c r="HK76" s="966"/>
      <c r="HL76" s="973"/>
      <c r="HM76" s="978"/>
      <c r="HN76" s="978"/>
      <c r="HO76" s="966"/>
      <c r="HP76" s="966"/>
      <c r="HQ76" s="966"/>
      <c r="HR76" s="966"/>
      <c r="HS76" s="966"/>
      <c r="HT76" s="966"/>
      <c r="HU76" s="965"/>
      <c r="HV76" s="966"/>
      <c r="HW76" s="973"/>
      <c r="HX76" s="966"/>
      <c r="HY76" s="973"/>
      <c r="HZ76" s="978"/>
      <c r="IA76" s="978"/>
      <c r="IB76" s="966"/>
      <c r="IC76" s="966"/>
      <c r="ID76" s="966"/>
      <c r="IE76" s="966"/>
      <c r="IF76" s="966"/>
      <c r="IG76" s="966"/>
      <c r="IH76" s="965"/>
      <c r="II76" s="966"/>
      <c r="IJ76" s="973"/>
      <c r="IK76" s="966"/>
      <c r="IL76" s="973"/>
      <c r="IM76" s="978"/>
      <c r="IN76" s="978"/>
      <c r="IO76" s="966"/>
      <c r="IP76" s="966"/>
      <c r="IQ76" s="966"/>
      <c r="IR76" s="966"/>
      <c r="IS76" s="966"/>
      <c r="IT76" s="966"/>
      <c r="IU76" s="965"/>
      <c r="IV76" s="966"/>
      <c r="IW76" s="973"/>
      <c r="IX76" s="966"/>
      <c r="IY76" s="973"/>
      <c r="IZ76" s="978"/>
      <c r="JA76" s="978"/>
      <c r="JB76" s="966"/>
      <c r="JC76" s="966"/>
      <c r="JD76" s="966"/>
      <c r="JE76" s="966"/>
      <c r="JF76" s="966"/>
      <c r="JG76" s="966"/>
      <c r="JH76" s="965"/>
      <c r="JI76" s="966"/>
      <c r="JJ76" s="973"/>
      <c r="JK76" s="966"/>
      <c r="JL76" s="973"/>
      <c r="JM76" s="978"/>
      <c r="JN76" s="978"/>
      <c r="JO76" s="966"/>
      <c r="JP76" s="966"/>
      <c r="JQ76" s="966"/>
      <c r="JR76" s="966"/>
      <c r="JS76" s="966"/>
      <c r="JT76" s="966"/>
      <c r="JU76" s="965"/>
      <c r="JV76" s="966"/>
      <c r="JW76" s="973"/>
      <c r="JX76" s="966"/>
      <c r="JY76" s="973"/>
      <c r="JZ76" s="978"/>
      <c r="KA76" s="978"/>
      <c r="KB76" s="966"/>
      <c r="KC76" s="966"/>
      <c r="KD76" s="966"/>
      <c r="KE76" s="966"/>
      <c r="KF76" s="966"/>
      <c r="KG76" s="966"/>
      <c r="KH76" s="965"/>
      <c r="KI76" s="966"/>
      <c r="KJ76" s="973"/>
      <c r="KK76" s="966"/>
      <c r="KL76" s="973"/>
      <c r="KM76" s="978"/>
      <c r="KN76" s="978"/>
      <c r="KO76" s="966"/>
      <c r="KP76" s="966"/>
      <c r="KQ76" s="966"/>
      <c r="KR76" s="966"/>
      <c r="KS76" s="966"/>
      <c r="KT76" s="966"/>
      <c r="KU76" s="965"/>
      <c r="KV76" s="966"/>
      <c r="KW76" s="973"/>
      <c r="KX76" s="966"/>
      <c r="KY76" s="973"/>
      <c r="KZ76" s="978"/>
      <c r="LA76" s="978"/>
      <c r="LB76" s="966"/>
      <c r="LC76" s="966"/>
      <c r="LD76" s="966"/>
      <c r="LE76" s="966"/>
      <c r="LF76" s="966"/>
      <c r="LG76" s="966"/>
      <c r="LH76" s="965"/>
      <c r="LI76" s="966"/>
      <c r="LJ76" s="973"/>
      <c r="LK76" s="966"/>
      <c r="LL76" s="973"/>
      <c r="LM76" s="978"/>
      <c r="LN76" s="978"/>
      <c r="LO76" s="966"/>
      <c r="LP76" s="966"/>
      <c r="LQ76" s="966"/>
      <c r="LR76" s="966"/>
      <c r="LS76" s="966"/>
      <c r="LT76" s="966"/>
      <c r="LU76" s="965"/>
      <c r="LV76" s="966"/>
      <c r="LW76" s="973"/>
      <c r="LX76" s="966"/>
      <c r="LY76" s="973"/>
      <c r="LZ76" s="978"/>
      <c r="MA76" s="978"/>
      <c r="MB76" s="966"/>
      <c r="MC76" s="966"/>
      <c r="MD76" s="966"/>
      <c r="ME76" s="966"/>
      <c r="MF76" s="966"/>
      <c r="MG76" s="966"/>
    </row>
    <row r="77" spans="2:345">
      <c r="B77" s="196">
        <f>INDEX(Groups!$C$7:$C$65,MATCH(C77,Groups!$D$7:$D$65,0))</f>
        <v>50</v>
      </c>
      <c r="C77" s="197" t="str">
        <f>CalcK!$P$23</f>
        <v>Oezbekistan</v>
      </c>
      <c r="D77" s="198">
        <f>INDEX(Groups!$C$7:$C$65,MATCH(E77,Groups!$D$7:$D$65,0))</f>
        <v>13</v>
      </c>
      <c r="E77" s="197" t="str">
        <f>CalcK!$Q$23</f>
        <v>Colombia</v>
      </c>
      <c r="F77" s="725" t="str">
        <f>CalcK!$R$23</f>
        <v/>
      </c>
      <c r="G77" s="200" t="str">
        <f>CalcK!$S$23</f>
        <v/>
      </c>
      <c r="I77" s="196">
        <f t="shared" si="18"/>
        <v>50</v>
      </c>
      <c r="J77" s="197" t="str">
        <f t="shared" si="44"/>
        <v>Oezbekistan</v>
      </c>
      <c r="K77" s="198">
        <f t="shared" si="45"/>
        <v>13</v>
      </c>
      <c r="L77" s="197" t="str">
        <f t="shared" si="46"/>
        <v>Colombia</v>
      </c>
      <c r="M77" s="232"/>
      <c r="N77" s="232"/>
      <c r="O77" s="228"/>
      <c r="P77" s="198" t="str">
        <f t="shared" si="47"/>
        <v/>
      </c>
      <c r="Q77" s="198" t="str">
        <f>IF((P77&lt;&gt;""),IF(OR($F77&lt;&gt;$G77,PrSettings!$M$4="●"),(($F77-$G77)=(M77-N77))*1,0),"")</f>
        <v/>
      </c>
      <c r="R77" s="198" t="str">
        <f t="shared" si="48"/>
        <v/>
      </c>
      <c r="S77" s="198" t="str">
        <f>IF(P77&lt;&gt;"",IF(ABS($F77-$G77)&gt;=PrSettings!$M$7,(ABS($F77-$G77-M77+N77)&lt;=1)*1,IF(AND(P77,$F77=$G77,$F77&gt;=PrSettings!$M$6),(ABS(M77-$F77)&lt;=1)*1,IF(AND(P77,$F77+$G77&gt;=PrSettings!$M$8),(ABS(M77-$F77)+ABS(N77-$G77)&lt;=1)*1,""))),"")</f>
        <v/>
      </c>
      <c r="T77" s="989"/>
      <c r="U77" s="965"/>
      <c r="V77" s="966"/>
      <c r="W77" s="973"/>
      <c r="X77" s="966"/>
      <c r="Y77" s="973"/>
      <c r="Z77" s="978"/>
      <c r="AA77" s="978"/>
      <c r="AB77" s="966"/>
      <c r="AC77" s="966"/>
      <c r="AD77" s="966"/>
      <c r="AE77" s="966"/>
      <c r="AF77" s="966"/>
      <c r="AG77" s="966"/>
      <c r="AH77" s="965"/>
      <c r="AI77" s="966"/>
      <c r="AJ77" s="973"/>
      <c r="AK77" s="966"/>
      <c r="AL77" s="973"/>
      <c r="AM77" s="978"/>
      <c r="AN77" s="978"/>
      <c r="AO77" s="966"/>
      <c r="AP77" s="966"/>
      <c r="AQ77" s="966"/>
      <c r="AR77" s="966"/>
      <c r="AS77" s="966"/>
      <c r="AT77" s="966"/>
      <c r="AU77" s="965"/>
      <c r="AV77" s="966"/>
      <c r="AW77" s="973"/>
      <c r="AX77" s="966"/>
      <c r="AY77" s="973"/>
      <c r="AZ77" s="978"/>
      <c r="BA77" s="978"/>
      <c r="BB77" s="966"/>
      <c r="BC77" s="966"/>
      <c r="BD77" s="966"/>
      <c r="BE77" s="966"/>
      <c r="BF77" s="966"/>
      <c r="BG77" s="966"/>
      <c r="BH77" s="965"/>
      <c r="BI77" s="966"/>
      <c r="BJ77" s="973"/>
      <c r="BK77" s="966"/>
      <c r="BL77" s="973"/>
      <c r="BM77" s="978"/>
      <c r="BN77" s="978"/>
      <c r="BO77" s="966"/>
      <c r="BP77" s="966"/>
      <c r="BQ77" s="966"/>
      <c r="BR77" s="966"/>
      <c r="BS77" s="966"/>
      <c r="BT77" s="966"/>
      <c r="BU77" s="965"/>
      <c r="BV77" s="966"/>
      <c r="BW77" s="973"/>
      <c r="BX77" s="966"/>
      <c r="BY77" s="973"/>
      <c r="BZ77" s="978"/>
      <c r="CA77" s="978"/>
      <c r="CB77" s="966"/>
      <c r="CC77" s="966"/>
      <c r="CD77" s="966"/>
      <c r="CE77" s="966"/>
      <c r="CF77" s="966"/>
      <c r="CG77" s="966"/>
      <c r="CH77" s="965"/>
      <c r="CI77" s="966"/>
      <c r="CJ77" s="973"/>
      <c r="CK77" s="966"/>
      <c r="CL77" s="973"/>
      <c r="CM77" s="978"/>
      <c r="CN77" s="978"/>
      <c r="CO77" s="966"/>
      <c r="CP77" s="966"/>
      <c r="CQ77" s="966"/>
      <c r="CR77" s="966"/>
      <c r="CS77" s="966"/>
      <c r="CT77" s="966"/>
      <c r="CU77" s="965"/>
      <c r="CV77" s="966"/>
      <c r="CW77" s="973"/>
      <c r="CX77" s="966"/>
      <c r="CY77" s="973"/>
      <c r="CZ77" s="978"/>
      <c r="DA77" s="978"/>
      <c r="DB77" s="966"/>
      <c r="DC77" s="966"/>
      <c r="DD77" s="966"/>
      <c r="DE77" s="966"/>
      <c r="DF77" s="966"/>
      <c r="DG77" s="966"/>
      <c r="DH77" s="965"/>
      <c r="DI77" s="966"/>
      <c r="DJ77" s="973"/>
      <c r="DK77" s="966"/>
      <c r="DL77" s="973"/>
      <c r="DM77" s="978"/>
      <c r="DN77" s="978"/>
      <c r="DO77" s="966"/>
      <c r="DP77" s="966"/>
      <c r="DQ77" s="966"/>
      <c r="DR77" s="966"/>
      <c r="DS77" s="966"/>
      <c r="DT77" s="966"/>
      <c r="DU77" s="965"/>
      <c r="DV77" s="966"/>
      <c r="DW77" s="973"/>
      <c r="DX77" s="966"/>
      <c r="DY77" s="973"/>
      <c r="DZ77" s="978"/>
      <c r="EA77" s="978"/>
      <c r="EB77" s="966"/>
      <c r="EC77" s="966"/>
      <c r="ED77" s="966"/>
      <c r="EE77" s="966"/>
      <c r="EF77" s="966"/>
      <c r="EG77" s="966"/>
      <c r="EH77" s="965"/>
      <c r="EI77" s="966"/>
      <c r="EJ77" s="973"/>
      <c r="EK77" s="966"/>
      <c r="EL77" s="973"/>
      <c r="EM77" s="978"/>
      <c r="EN77" s="978"/>
      <c r="EO77" s="966"/>
      <c r="EP77" s="966"/>
      <c r="EQ77" s="966"/>
      <c r="ER77" s="966"/>
      <c r="ES77" s="966"/>
      <c r="ET77" s="966"/>
      <c r="EU77" s="965"/>
      <c r="EV77" s="966"/>
      <c r="EW77" s="973"/>
      <c r="EX77" s="966"/>
      <c r="EY77" s="973"/>
      <c r="EZ77" s="978"/>
      <c r="FA77" s="978"/>
      <c r="FB77" s="966"/>
      <c r="FC77" s="966"/>
      <c r="FD77" s="966"/>
      <c r="FE77" s="966"/>
      <c r="FF77" s="966"/>
      <c r="FG77" s="966"/>
      <c r="FH77" s="965"/>
      <c r="FI77" s="966"/>
      <c r="FJ77" s="973"/>
      <c r="FK77" s="966"/>
      <c r="FL77" s="973"/>
      <c r="FM77" s="978"/>
      <c r="FN77" s="978"/>
      <c r="FO77" s="966"/>
      <c r="FP77" s="966"/>
      <c r="FQ77" s="966"/>
      <c r="FR77" s="966"/>
      <c r="FS77" s="966"/>
      <c r="FT77" s="966"/>
      <c r="FU77" s="965"/>
      <c r="FV77" s="966"/>
      <c r="FW77" s="973"/>
      <c r="FX77" s="966"/>
      <c r="FY77" s="973"/>
      <c r="FZ77" s="978"/>
      <c r="GA77" s="978"/>
      <c r="GB77" s="966"/>
      <c r="GC77" s="966"/>
      <c r="GD77" s="966"/>
      <c r="GE77" s="966"/>
      <c r="GF77" s="966"/>
      <c r="GG77" s="966"/>
      <c r="GH77" s="965"/>
      <c r="GI77" s="966"/>
      <c r="GJ77" s="973"/>
      <c r="GK77" s="966"/>
      <c r="GL77" s="973"/>
      <c r="GM77" s="978"/>
      <c r="GN77" s="978"/>
      <c r="GO77" s="966"/>
      <c r="GP77" s="966"/>
      <c r="GQ77" s="966"/>
      <c r="GR77" s="966"/>
      <c r="GS77" s="966"/>
      <c r="GT77" s="966"/>
      <c r="GU77" s="965"/>
      <c r="GV77" s="966"/>
      <c r="GW77" s="973"/>
      <c r="GX77" s="966"/>
      <c r="GY77" s="973"/>
      <c r="GZ77" s="978"/>
      <c r="HA77" s="978"/>
      <c r="HB77" s="966"/>
      <c r="HC77" s="966"/>
      <c r="HD77" s="966"/>
      <c r="HE77" s="966"/>
      <c r="HF77" s="966"/>
      <c r="HG77" s="966"/>
      <c r="HH77" s="965"/>
      <c r="HI77" s="966"/>
      <c r="HJ77" s="973"/>
      <c r="HK77" s="966"/>
      <c r="HL77" s="973"/>
      <c r="HM77" s="978"/>
      <c r="HN77" s="978"/>
      <c r="HO77" s="966"/>
      <c r="HP77" s="966"/>
      <c r="HQ77" s="966"/>
      <c r="HR77" s="966"/>
      <c r="HS77" s="966"/>
      <c r="HT77" s="966"/>
      <c r="HU77" s="965"/>
      <c r="HV77" s="966"/>
      <c r="HW77" s="973"/>
      <c r="HX77" s="966"/>
      <c r="HY77" s="973"/>
      <c r="HZ77" s="978"/>
      <c r="IA77" s="978"/>
      <c r="IB77" s="966"/>
      <c r="IC77" s="966"/>
      <c r="ID77" s="966"/>
      <c r="IE77" s="966"/>
      <c r="IF77" s="966"/>
      <c r="IG77" s="966"/>
      <c r="IH77" s="965"/>
      <c r="II77" s="966"/>
      <c r="IJ77" s="973"/>
      <c r="IK77" s="966"/>
      <c r="IL77" s="973"/>
      <c r="IM77" s="978"/>
      <c r="IN77" s="978"/>
      <c r="IO77" s="966"/>
      <c r="IP77" s="966"/>
      <c r="IQ77" s="966"/>
      <c r="IR77" s="966"/>
      <c r="IS77" s="966"/>
      <c r="IT77" s="966"/>
      <c r="IU77" s="965"/>
      <c r="IV77" s="966"/>
      <c r="IW77" s="973"/>
      <c r="IX77" s="966"/>
      <c r="IY77" s="973"/>
      <c r="IZ77" s="978"/>
      <c r="JA77" s="978"/>
      <c r="JB77" s="966"/>
      <c r="JC77" s="966"/>
      <c r="JD77" s="966"/>
      <c r="JE77" s="966"/>
      <c r="JF77" s="966"/>
      <c r="JG77" s="966"/>
      <c r="JH77" s="965"/>
      <c r="JI77" s="966"/>
      <c r="JJ77" s="973"/>
      <c r="JK77" s="966"/>
      <c r="JL77" s="973"/>
      <c r="JM77" s="978"/>
      <c r="JN77" s="978"/>
      <c r="JO77" s="966"/>
      <c r="JP77" s="966"/>
      <c r="JQ77" s="966"/>
      <c r="JR77" s="966"/>
      <c r="JS77" s="966"/>
      <c r="JT77" s="966"/>
      <c r="JU77" s="965"/>
      <c r="JV77" s="966"/>
      <c r="JW77" s="973"/>
      <c r="JX77" s="966"/>
      <c r="JY77" s="973"/>
      <c r="JZ77" s="978"/>
      <c r="KA77" s="978"/>
      <c r="KB77" s="966"/>
      <c r="KC77" s="966"/>
      <c r="KD77" s="966"/>
      <c r="KE77" s="966"/>
      <c r="KF77" s="966"/>
      <c r="KG77" s="966"/>
      <c r="KH77" s="965"/>
      <c r="KI77" s="966"/>
      <c r="KJ77" s="973"/>
      <c r="KK77" s="966"/>
      <c r="KL77" s="973"/>
      <c r="KM77" s="978"/>
      <c r="KN77" s="978"/>
      <c r="KO77" s="966"/>
      <c r="KP77" s="966"/>
      <c r="KQ77" s="966"/>
      <c r="KR77" s="966"/>
      <c r="KS77" s="966"/>
      <c r="KT77" s="966"/>
      <c r="KU77" s="965"/>
      <c r="KV77" s="966"/>
      <c r="KW77" s="973"/>
      <c r="KX77" s="966"/>
      <c r="KY77" s="973"/>
      <c r="KZ77" s="978"/>
      <c r="LA77" s="978"/>
      <c r="LB77" s="966"/>
      <c r="LC77" s="966"/>
      <c r="LD77" s="966"/>
      <c r="LE77" s="966"/>
      <c r="LF77" s="966"/>
      <c r="LG77" s="966"/>
      <c r="LH77" s="965"/>
      <c r="LI77" s="966"/>
      <c r="LJ77" s="973"/>
      <c r="LK77" s="966"/>
      <c r="LL77" s="973"/>
      <c r="LM77" s="978"/>
      <c r="LN77" s="978"/>
      <c r="LO77" s="966"/>
      <c r="LP77" s="966"/>
      <c r="LQ77" s="966"/>
      <c r="LR77" s="966"/>
      <c r="LS77" s="966"/>
      <c r="LT77" s="966"/>
      <c r="LU77" s="965"/>
      <c r="LV77" s="966"/>
      <c r="LW77" s="973"/>
      <c r="LX77" s="966"/>
      <c r="LY77" s="973"/>
      <c r="LZ77" s="978"/>
      <c r="MA77" s="978"/>
      <c r="MB77" s="966"/>
      <c r="MC77" s="966"/>
      <c r="MD77" s="966"/>
      <c r="ME77" s="966"/>
      <c r="MF77" s="966"/>
      <c r="MG77" s="966"/>
    </row>
    <row r="78" spans="2:345">
      <c r="B78" s="196">
        <f>INDEX(Groups!$C$7:$C$65,MATCH(C78,Groups!$D$7:$D$65,0))</f>
        <v>5</v>
      </c>
      <c r="C78" s="197" t="str">
        <f>CalcK!$P$24</f>
        <v>Portugal</v>
      </c>
      <c r="D78" s="198">
        <f>INDEX(Groups!$C$7:$C$65,MATCH(E78,Groups!$D$7:$D$65,0))</f>
        <v>50</v>
      </c>
      <c r="E78" s="197" t="str">
        <f>CalcK!$Q$24</f>
        <v>Oezbekistan</v>
      </c>
      <c r="F78" s="199" t="str">
        <f>CalcK!$R$24</f>
        <v/>
      </c>
      <c r="G78" s="200" t="str">
        <f>CalcK!$S$24</f>
        <v/>
      </c>
      <c r="I78" s="196">
        <f t="shared" si="18"/>
        <v>5</v>
      </c>
      <c r="J78" s="197" t="str">
        <f t="shared" si="44"/>
        <v>Portugal</v>
      </c>
      <c r="K78" s="198">
        <f t="shared" si="45"/>
        <v>50</v>
      </c>
      <c r="L78" s="197" t="str">
        <f t="shared" si="46"/>
        <v>Oezbekistan</v>
      </c>
      <c r="M78" s="232"/>
      <c r="N78" s="232"/>
      <c r="O78" s="228"/>
      <c r="P78" s="198" t="str">
        <f t="shared" si="47"/>
        <v/>
      </c>
      <c r="Q78" s="198" t="str">
        <f>IF((P78&lt;&gt;""),IF(OR($F78&lt;&gt;$G78,PrSettings!$M$4="●"),(($F78-$G78)=(M78-N78))*1,0),"")</f>
        <v/>
      </c>
      <c r="R78" s="198" t="str">
        <f t="shared" si="48"/>
        <v/>
      </c>
      <c r="S78" s="198" t="str">
        <f>IF(P78&lt;&gt;"",IF(ABS($F78-$G78)&gt;=PrSettings!$M$7,(ABS($F78-$G78-M78+N78)&lt;=1)*1,IF(AND(P78,$F78=$G78,$F78&gt;=PrSettings!$M$6),(ABS(M78-$F78)&lt;=1)*1,IF(AND(P78,$F78+$G78&gt;=PrSettings!$M$8),(ABS(M78-$F78)+ABS(N78-$G78)&lt;=1)*1,""))),"")</f>
        <v/>
      </c>
      <c r="T78" s="989"/>
      <c r="U78" s="965"/>
      <c r="V78" s="966"/>
      <c r="W78" s="973"/>
      <c r="X78" s="966"/>
      <c r="Y78" s="973"/>
      <c r="Z78" s="978"/>
      <c r="AA78" s="978"/>
      <c r="AB78" s="966"/>
      <c r="AC78" s="966"/>
      <c r="AD78" s="966"/>
      <c r="AE78" s="966"/>
      <c r="AF78" s="966"/>
      <c r="AG78" s="966"/>
      <c r="AH78" s="965"/>
      <c r="AI78" s="966"/>
      <c r="AJ78" s="973"/>
      <c r="AK78" s="966"/>
      <c r="AL78" s="973"/>
      <c r="AM78" s="978"/>
      <c r="AN78" s="978"/>
      <c r="AO78" s="966"/>
      <c r="AP78" s="966"/>
      <c r="AQ78" s="966"/>
      <c r="AR78" s="966"/>
      <c r="AS78" s="966"/>
      <c r="AT78" s="966"/>
      <c r="AU78" s="965"/>
      <c r="AV78" s="966"/>
      <c r="AW78" s="973"/>
      <c r="AX78" s="966"/>
      <c r="AY78" s="973"/>
      <c r="AZ78" s="978"/>
      <c r="BA78" s="978"/>
      <c r="BB78" s="966"/>
      <c r="BC78" s="966"/>
      <c r="BD78" s="966"/>
      <c r="BE78" s="966"/>
      <c r="BF78" s="966"/>
      <c r="BG78" s="966"/>
      <c r="BH78" s="965"/>
      <c r="BI78" s="966"/>
      <c r="BJ78" s="973"/>
      <c r="BK78" s="966"/>
      <c r="BL78" s="973"/>
      <c r="BM78" s="978"/>
      <c r="BN78" s="978"/>
      <c r="BO78" s="966"/>
      <c r="BP78" s="966"/>
      <c r="BQ78" s="966"/>
      <c r="BR78" s="966"/>
      <c r="BS78" s="966"/>
      <c r="BT78" s="966"/>
      <c r="BU78" s="965"/>
      <c r="BV78" s="966"/>
      <c r="BW78" s="973"/>
      <c r="BX78" s="966"/>
      <c r="BY78" s="973"/>
      <c r="BZ78" s="978"/>
      <c r="CA78" s="978"/>
      <c r="CB78" s="966"/>
      <c r="CC78" s="966"/>
      <c r="CD78" s="966"/>
      <c r="CE78" s="966"/>
      <c r="CF78" s="966"/>
      <c r="CG78" s="966"/>
      <c r="CH78" s="965"/>
      <c r="CI78" s="966"/>
      <c r="CJ78" s="973"/>
      <c r="CK78" s="966"/>
      <c r="CL78" s="973"/>
      <c r="CM78" s="978"/>
      <c r="CN78" s="978"/>
      <c r="CO78" s="966"/>
      <c r="CP78" s="966"/>
      <c r="CQ78" s="966"/>
      <c r="CR78" s="966"/>
      <c r="CS78" s="966"/>
      <c r="CT78" s="966"/>
      <c r="CU78" s="965"/>
      <c r="CV78" s="966"/>
      <c r="CW78" s="973"/>
      <c r="CX78" s="966"/>
      <c r="CY78" s="973"/>
      <c r="CZ78" s="978"/>
      <c r="DA78" s="978"/>
      <c r="DB78" s="966"/>
      <c r="DC78" s="966"/>
      <c r="DD78" s="966"/>
      <c r="DE78" s="966"/>
      <c r="DF78" s="966"/>
      <c r="DG78" s="966"/>
      <c r="DH78" s="965"/>
      <c r="DI78" s="966"/>
      <c r="DJ78" s="973"/>
      <c r="DK78" s="966"/>
      <c r="DL78" s="973"/>
      <c r="DM78" s="978"/>
      <c r="DN78" s="978"/>
      <c r="DO78" s="966"/>
      <c r="DP78" s="966"/>
      <c r="DQ78" s="966"/>
      <c r="DR78" s="966"/>
      <c r="DS78" s="966"/>
      <c r="DT78" s="966"/>
      <c r="DU78" s="965"/>
      <c r="DV78" s="966"/>
      <c r="DW78" s="973"/>
      <c r="DX78" s="966"/>
      <c r="DY78" s="973"/>
      <c r="DZ78" s="978"/>
      <c r="EA78" s="978"/>
      <c r="EB78" s="966"/>
      <c r="EC78" s="966"/>
      <c r="ED78" s="966"/>
      <c r="EE78" s="966"/>
      <c r="EF78" s="966"/>
      <c r="EG78" s="966"/>
      <c r="EH78" s="965"/>
      <c r="EI78" s="966"/>
      <c r="EJ78" s="973"/>
      <c r="EK78" s="966"/>
      <c r="EL78" s="973"/>
      <c r="EM78" s="978"/>
      <c r="EN78" s="978"/>
      <c r="EO78" s="966"/>
      <c r="EP78" s="966"/>
      <c r="EQ78" s="966"/>
      <c r="ER78" s="966"/>
      <c r="ES78" s="966"/>
      <c r="ET78" s="966"/>
      <c r="EU78" s="965"/>
      <c r="EV78" s="966"/>
      <c r="EW78" s="973"/>
      <c r="EX78" s="966"/>
      <c r="EY78" s="973"/>
      <c r="EZ78" s="978"/>
      <c r="FA78" s="978"/>
      <c r="FB78" s="966"/>
      <c r="FC78" s="966"/>
      <c r="FD78" s="966"/>
      <c r="FE78" s="966"/>
      <c r="FF78" s="966"/>
      <c r="FG78" s="966"/>
      <c r="FH78" s="965"/>
      <c r="FI78" s="966"/>
      <c r="FJ78" s="973"/>
      <c r="FK78" s="966"/>
      <c r="FL78" s="973"/>
      <c r="FM78" s="978"/>
      <c r="FN78" s="978"/>
      <c r="FO78" s="966"/>
      <c r="FP78" s="966"/>
      <c r="FQ78" s="966"/>
      <c r="FR78" s="966"/>
      <c r="FS78" s="966"/>
      <c r="FT78" s="966"/>
      <c r="FU78" s="965"/>
      <c r="FV78" s="966"/>
      <c r="FW78" s="973"/>
      <c r="FX78" s="966"/>
      <c r="FY78" s="973"/>
      <c r="FZ78" s="978"/>
      <c r="GA78" s="978"/>
      <c r="GB78" s="966"/>
      <c r="GC78" s="966"/>
      <c r="GD78" s="966"/>
      <c r="GE78" s="966"/>
      <c r="GF78" s="966"/>
      <c r="GG78" s="966"/>
      <c r="GH78" s="965"/>
      <c r="GI78" s="966"/>
      <c r="GJ78" s="973"/>
      <c r="GK78" s="966"/>
      <c r="GL78" s="973"/>
      <c r="GM78" s="978"/>
      <c r="GN78" s="978"/>
      <c r="GO78" s="966"/>
      <c r="GP78" s="966"/>
      <c r="GQ78" s="966"/>
      <c r="GR78" s="966"/>
      <c r="GS78" s="966"/>
      <c r="GT78" s="966"/>
      <c r="GU78" s="965"/>
      <c r="GV78" s="966"/>
      <c r="GW78" s="973"/>
      <c r="GX78" s="966"/>
      <c r="GY78" s="973"/>
      <c r="GZ78" s="978"/>
      <c r="HA78" s="978"/>
      <c r="HB78" s="966"/>
      <c r="HC78" s="966"/>
      <c r="HD78" s="966"/>
      <c r="HE78" s="966"/>
      <c r="HF78" s="966"/>
      <c r="HG78" s="966"/>
      <c r="HH78" s="965"/>
      <c r="HI78" s="966"/>
      <c r="HJ78" s="973"/>
      <c r="HK78" s="966"/>
      <c r="HL78" s="973"/>
      <c r="HM78" s="978"/>
      <c r="HN78" s="978"/>
      <c r="HO78" s="966"/>
      <c r="HP78" s="966"/>
      <c r="HQ78" s="966"/>
      <c r="HR78" s="966"/>
      <c r="HS78" s="966"/>
      <c r="HT78" s="966"/>
      <c r="HU78" s="965"/>
      <c r="HV78" s="966"/>
      <c r="HW78" s="973"/>
      <c r="HX78" s="966"/>
      <c r="HY78" s="973"/>
      <c r="HZ78" s="978"/>
      <c r="IA78" s="978"/>
      <c r="IB78" s="966"/>
      <c r="IC78" s="966"/>
      <c r="ID78" s="966"/>
      <c r="IE78" s="966"/>
      <c r="IF78" s="966"/>
      <c r="IG78" s="966"/>
      <c r="IH78" s="965"/>
      <c r="II78" s="966"/>
      <c r="IJ78" s="973"/>
      <c r="IK78" s="966"/>
      <c r="IL78" s="973"/>
      <c r="IM78" s="978"/>
      <c r="IN78" s="978"/>
      <c r="IO78" s="966"/>
      <c r="IP78" s="966"/>
      <c r="IQ78" s="966"/>
      <c r="IR78" s="966"/>
      <c r="IS78" s="966"/>
      <c r="IT78" s="966"/>
      <c r="IU78" s="965"/>
      <c r="IV78" s="966"/>
      <c r="IW78" s="973"/>
      <c r="IX78" s="966"/>
      <c r="IY78" s="973"/>
      <c r="IZ78" s="978"/>
      <c r="JA78" s="978"/>
      <c r="JB78" s="966"/>
      <c r="JC78" s="966"/>
      <c r="JD78" s="966"/>
      <c r="JE78" s="966"/>
      <c r="JF78" s="966"/>
      <c r="JG78" s="966"/>
      <c r="JH78" s="965"/>
      <c r="JI78" s="966"/>
      <c r="JJ78" s="973"/>
      <c r="JK78" s="966"/>
      <c r="JL78" s="973"/>
      <c r="JM78" s="978"/>
      <c r="JN78" s="978"/>
      <c r="JO78" s="966"/>
      <c r="JP78" s="966"/>
      <c r="JQ78" s="966"/>
      <c r="JR78" s="966"/>
      <c r="JS78" s="966"/>
      <c r="JT78" s="966"/>
      <c r="JU78" s="965"/>
      <c r="JV78" s="966"/>
      <c r="JW78" s="973"/>
      <c r="JX78" s="966"/>
      <c r="JY78" s="973"/>
      <c r="JZ78" s="978"/>
      <c r="KA78" s="978"/>
      <c r="KB78" s="966"/>
      <c r="KC78" s="966"/>
      <c r="KD78" s="966"/>
      <c r="KE78" s="966"/>
      <c r="KF78" s="966"/>
      <c r="KG78" s="966"/>
      <c r="KH78" s="965"/>
      <c r="KI78" s="966"/>
      <c r="KJ78" s="973"/>
      <c r="KK78" s="966"/>
      <c r="KL78" s="973"/>
      <c r="KM78" s="978"/>
      <c r="KN78" s="978"/>
      <c r="KO78" s="966"/>
      <c r="KP78" s="966"/>
      <c r="KQ78" s="966"/>
      <c r="KR78" s="966"/>
      <c r="KS78" s="966"/>
      <c r="KT78" s="966"/>
      <c r="KU78" s="965"/>
      <c r="KV78" s="966"/>
      <c r="KW78" s="973"/>
      <c r="KX78" s="966"/>
      <c r="KY78" s="973"/>
      <c r="KZ78" s="978"/>
      <c r="LA78" s="978"/>
      <c r="LB78" s="966"/>
      <c r="LC78" s="966"/>
      <c r="LD78" s="966"/>
      <c r="LE78" s="966"/>
      <c r="LF78" s="966"/>
      <c r="LG78" s="966"/>
      <c r="LH78" s="965"/>
      <c r="LI78" s="966"/>
      <c r="LJ78" s="973"/>
      <c r="LK78" s="966"/>
      <c r="LL78" s="973"/>
      <c r="LM78" s="978"/>
      <c r="LN78" s="978"/>
      <c r="LO78" s="966"/>
      <c r="LP78" s="966"/>
      <c r="LQ78" s="966"/>
      <c r="LR78" s="966"/>
      <c r="LS78" s="966"/>
      <c r="LT78" s="966"/>
      <c r="LU78" s="965"/>
      <c r="LV78" s="966"/>
      <c r="LW78" s="973"/>
      <c r="LX78" s="966"/>
      <c r="LY78" s="973"/>
      <c r="LZ78" s="978"/>
      <c r="MA78" s="978"/>
      <c r="MB78" s="966"/>
      <c r="MC78" s="966"/>
      <c r="MD78" s="966"/>
      <c r="ME78" s="966"/>
      <c r="MF78" s="966"/>
      <c r="MG78" s="966"/>
    </row>
    <row r="79" spans="2:345">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18"/>
        <v>13</v>
      </c>
      <c r="J79" s="197" t="str">
        <f t="shared" si="44"/>
        <v>Colombia</v>
      </c>
      <c r="K79" s="198">
        <f t="shared" si="45"/>
        <v>46</v>
      </c>
      <c r="L79" s="197" t="str">
        <f t="shared" si="46"/>
        <v>DR Congo</v>
      </c>
      <c r="M79" s="232"/>
      <c r="N79" s="232"/>
      <c r="O79" s="228"/>
      <c r="P79" s="198" t="str">
        <f t="shared" si="47"/>
        <v/>
      </c>
      <c r="Q79" s="198" t="str">
        <f>IF((P79&lt;&gt;""),IF(OR($F79&lt;&gt;$G79,PrSettings!$M$4="●"),(($F79-$G79)=(M79-N79))*1,0),"")</f>
        <v/>
      </c>
      <c r="R79" s="198" t="str">
        <f t="shared" si="48"/>
        <v/>
      </c>
      <c r="S79" s="198" t="str">
        <f>IF(P79&lt;&gt;"",IF(ABS($F79-$G79)&gt;=PrSettings!$M$7,(ABS($F79-$G79-M79+N79)&lt;=1)*1,IF(AND(P79,$F79=$G79,$F79&gt;=PrSettings!$M$6),(ABS(M79-$F79)&lt;=1)*1,IF(AND(P79,$F79+$G79&gt;=PrSettings!$M$8),(ABS(M79-$F79)+ABS(N79-$G79)&lt;=1)*1,""))),"")</f>
        <v/>
      </c>
      <c r="T79" s="989"/>
      <c r="U79" s="965"/>
      <c r="V79" s="966"/>
      <c r="W79" s="973"/>
      <c r="X79" s="966"/>
      <c r="Y79" s="973"/>
      <c r="Z79" s="978"/>
      <c r="AA79" s="978"/>
      <c r="AB79" s="966"/>
      <c r="AC79" s="966"/>
      <c r="AD79" s="966"/>
      <c r="AE79" s="966"/>
      <c r="AF79" s="966"/>
      <c r="AG79" s="966"/>
      <c r="AH79" s="965"/>
      <c r="AI79" s="966"/>
      <c r="AJ79" s="973"/>
      <c r="AK79" s="966"/>
      <c r="AL79" s="973"/>
      <c r="AM79" s="978"/>
      <c r="AN79" s="978"/>
      <c r="AO79" s="966"/>
      <c r="AP79" s="966"/>
      <c r="AQ79" s="966"/>
      <c r="AR79" s="966"/>
      <c r="AS79" s="966"/>
      <c r="AT79" s="966"/>
      <c r="AU79" s="965"/>
      <c r="AV79" s="966"/>
      <c r="AW79" s="973"/>
      <c r="AX79" s="966"/>
      <c r="AY79" s="973"/>
      <c r="AZ79" s="978"/>
      <c r="BA79" s="978"/>
      <c r="BB79" s="966"/>
      <c r="BC79" s="966"/>
      <c r="BD79" s="966"/>
      <c r="BE79" s="966"/>
      <c r="BF79" s="966"/>
      <c r="BG79" s="966"/>
      <c r="BH79" s="965"/>
      <c r="BI79" s="966"/>
      <c r="BJ79" s="973"/>
      <c r="BK79" s="966"/>
      <c r="BL79" s="973"/>
      <c r="BM79" s="978"/>
      <c r="BN79" s="978"/>
      <c r="BO79" s="966"/>
      <c r="BP79" s="966"/>
      <c r="BQ79" s="966"/>
      <c r="BR79" s="966"/>
      <c r="BS79" s="966"/>
      <c r="BT79" s="966"/>
      <c r="BU79" s="965"/>
      <c r="BV79" s="966"/>
      <c r="BW79" s="973"/>
      <c r="BX79" s="966"/>
      <c r="BY79" s="973"/>
      <c r="BZ79" s="978"/>
      <c r="CA79" s="978"/>
      <c r="CB79" s="966"/>
      <c r="CC79" s="966"/>
      <c r="CD79" s="966"/>
      <c r="CE79" s="966"/>
      <c r="CF79" s="966"/>
      <c r="CG79" s="966"/>
      <c r="CH79" s="965"/>
      <c r="CI79" s="966"/>
      <c r="CJ79" s="973"/>
      <c r="CK79" s="966"/>
      <c r="CL79" s="973"/>
      <c r="CM79" s="978"/>
      <c r="CN79" s="978"/>
      <c r="CO79" s="966"/>
      <c r="CP79" s="966"/>
      <c r="CQ79" s="966"/>
      <c r="CR79" s="966"/>
      <c r="CS79" s="966"/>
      <c r="CT79" s="966"/>
      <c r="CU79" s="965"/>
      <c r="CV79" s="966"/>
      <c r="CW79" s="973"/>
      <c r="CX79" s="966"/>
      <c r="CY79" s="973"/>
      <c r="CZ79" s="978"/>
      <c r="DA79" s="978"/>
      <c r="DB79" s="966"/>
      <c r="DC79" s="966"/>
      <c r="DD79" s="966"/>
      <c r="DE79" s="966"/>
      <c r="DF79" s="966"/>
      <c r="DG79" s="966"/>
      <c r="DH79" s="965"/>
      <c r="DI79" s="966"/>
      <c r="DJ79" s="973"/>
      <c r="DK79" s="966"/>
      <c r="DL79" s="973"/>
      <c r="DM79" s="978"/>
      <c r="DN79" s="978"/>
      <c r="DO79" s="966"/>
      <c r="DP79" s="966"/>
      <c r="DQ79" s="966"/>
      <c r="DR79" s="966"/>
      <c r="DS79" s="966"/>
      <c r="DT79" s="966"/>
      <c r="DU79" s="965"/>
      <c r="DV79" s="966"/>
      <c r="DW79" s="973"/>
      <c r="DX79" s="966"/>
      <c r="DY79" s="973"/>
      <c r="DZ79" s="978"/>
      <c r="EA79" s="978"/>
      <c r="EB79" s="966"/>
      <c r="EC79" s="966"/>
      <c r="ED79" s="966"/>
      <c r="EE79" s="966"/>
      <c r="EF79" s="966"/>
      <c r="EG79" s="966"/>
      <c r="EH79" s="965"/>
      <c r="EI79" s="966"/>
      <c r="EJ79" s="973"/>
      <c r="EK79" s="966"/>
      <c r="EL79" s="973"/>
      <c r="EM79" s="978"/>
      <c r="EN79" s="978"/>
      <c r="EO79" s="966"/>
      <c r="EP79" s="966"/>
      <c r="EQ79" s="966"/>
      <c r="ER79" s="966"/>
      <c r="ES79" s="966"/>
      <c r="ET79" s="966"/>
      <c r="EU79" s="965"/>
      <c r="EV79" s="966"/>
      <c r="EW79" s="973"/>
      <c r="EX79" s="966"/>
      <c r="EY79" s="973"/>
      <c r="EZ79" s="978"/>
      <c r="FA79" s="978"/>
      <c r="FB79" s="966"/>
      <c r="FC79" s="966"/>
      <c r="FD79" s="966"/>
      <c r="FE79" s="966"/>
      <c r="FF79" s="966"/>
      <c r="FG79" s="966"/>
      <c r="FH79" s="965"/>
      <c r="FI79" s="966"/>
      <c r="FJ79" s="973"/>
      <c r="FK79" s="966"/>
      <c r="FL79" s="973"/>
      <c r="FM79" s="978"/>
      <c r="FN79" s="978"/>
      <c r="FO79" s="966"/>
      <c r="FP79" s="966"/>
      <c r="FQ79" s="966"/>
      <c r="FR79" s="966"/>
      <c r="FS79" s="966"/>
      <c r="FT79" s="966"/>
      <c r="FU79" s="965"/>
      <c r="FV79" s="966"/>
      <c r="FW79" s="973"/>
      <c r="FX79" s="966"/>
      <c r="FY79" s="973"/>
      <c r="FZ79" s="978"/>
      <c r="GA79" s="978"/>
      <c r="GB79" s="966"/>
      <c r="GC79" s="966"/>
      <c r="GD79" s="966"/>
      <c r="GE79" s="966"/>
      <c r="GF79" s="966"/>
      <c r="GG79" s="966"/>
      <c r="GH79" s="965"/>
      <c r="GI79" s="966"/>
      <c r="GJ79" s="973"/>
      <c r="GK79" s="966"/>
      <c r="GL79" s="973"/>
      <c r="GM79" s="978"/>
      <c r="GN79" s="978"/>
      <c r="GO79" s="966"/>
      <c r="GP79" s="966"/>
      <c r="GQ79" s="966"/>
      <c r="GR79" s="966"/>
      <c r="GS79" s="966"/>
      <c r="GT79" s="966"/>
      <c r="GU79" s="965"/>
      <c r="GV79" s="966"/>
      <c r="GW79" s="973"/>
      <c r="GX79" s="966"/>
      <c r="GY79" s="973"/>
      <c r="GZ79" s="978"/>
      <c r="HA79" s="978"/>
      <c r="HB79" s="966"/>
      <c r="HC79" s="966"/>
      <c r="HD79" s="966"/>
      <c r="HE79" s="966"/>
      <c r="HF79" s="966"/>
      <c r="HG79" s="966"/>
      <c r="HH79" s="965"/>
      <c r="HI79" s="966"/>
      <c r="HJ79" s="973"/>
      <c r="HK79" s="966"/>
      <c r="HL79" s="973"/>
      <c r="HM79" s="978"/>
      <c r="HN79" s="978"/>
      <c r="HO79" s="966"/>
      <c r="HP79" s="966"/>
      <c r="HQ79" s="966"/>
      <c r="HR79" s="966"/>
      <c r="HS79" s="966"/>
      <c r="HT79" s="966"/>
      <c r="HU79" s="965"/>
      <c r="HV79" s="966"/>
      <c r="HW79" s="973"/>
      <c r="HX79" s="966"/>
      <c r="HY79" s="973"/>
      <c r="HZ79" s="978"/>
      <c r="IA79" s="978"/>
      <c r="IB79" s="966"/>
      <c r="IC79" s="966"/>
      <c r="ID79" s="966"/>
      <c r="IE79" s="966"/>
      <c r="IF79" s="966"/>
      <c r="IG79" s="966"/>
      <c r="IH79" s="965"/>
      <c r="II79" s="966"/>
      <c r="IJ79" s="973"/>
      <c r="IK79" s="966"/>
      <c r="IL79" s="973"/>
      <c r="IM79" s="978"/>
      <c r="IN79" s="978"/>
      <c r="IO79" s="966"/>
      <c r="IP79" s="966"/>
      <c r="IQ79" s="966"/>
      <c r="IR79" s="966"/>
      <c r="IS79" s="966"/>
      <c r="IT79" s="966"/>
      <c r="IU79" s="965"/>
      <c r="IV79" s="966"/>
      <c r="IW79" s="973"/>
      <c r="IX79" s="966"/>
      <c r="IY79" s="973"/>
      <c r="IZ79" s="978"/>
      <c r="JA79" s="978"/>
      <c r="JB79" s="966"/>
      <c r="JC79" s="966"/>
      <c r="JD79" s="966"/>
      <c r="JE79" s="966"/>
      <c r="JF79" s="966"/>
      <c r="JG79" s="966"/>
      <c r="JH79" s="965"/>
      <c r="JI79" s="966"/>
      <c r="JJ79" s="973"/>
      <c r="JK79" s="966"/>
      <c r="JL79" s="973"/>
      <c r="JM79" s="978"/>
      <c r="JN79" s="978"/>
      <c r="JO79" s="966"/>
      <c r="JP79" s="966"/>
      <c r="JQ79" s="966"/>
      <c r="JR79" s="966"/>
      <c r="JS79" s="966"/>
      <c r="JT79" s="966"/>
      <c r="JU79" s="965"/>
      <c r="JV79" s="966"/>
      <c r="JW79" s="973"/>
      <c r="JX79" s="966"/>
      <c r="JY79" s="973"/>
      <c r="JZ79" s="978"/>
      <c r="KA79" s="978"/>
      <c r="KB79" s="966"/>
      <c r="KC79" s="966"/>
      <c r="KD79" s="966"/>
      <c r="KE79" s="966"/>
      <c r="KF79" s="966"/>
      <c r="KG79" s="966"/>
      <c r="KH79" s="965"/>
      <c r="KI79" s="966"/>
      <c r="KJ79" s="973"/>
      <c r="KK79" s="966"/>
      <c r="KL79" s="973"/>
      <c r="KM79" s="978"/>
      <c r="KN79" s="978"/>
      <c r="KO79" s="966"/>
      <c r="KP79" s="966"/>
      <c r="KQ79" s="966"/>
      <c r="KR79" s="966"/>
      <c r="KS79" s="966"/>
      <c r="KT79" s="966"/>
      <c r="KU79" s="965"/>
      <c r="KV79" s="966"/>
      <c r="KW79" s="973"/>
      <c r="KX79" s="966"/>
      <c r="KY79" s="973"/>
      <c r="KZ79" s="978"/>
      <c r="LA79" s="978"/>
      <c r="LB79" s="966"/>
      <c r="LC79" s="966"/>
      <c r="LD79" s="966"/>
      <c r="LE79" s="966"/>
      <c r="LF79" s="966"/>
      <c r="LG79" s="966"/>
      <c r="LH79" s="965"/>
      <c r="LI79" s="966"/>
      <c r="LJ79" s="973"/>
      <c r="LK79" s="966"/>
      <c r="LL79" s="973"/>
      <c r="LM79" s="978"/>
      <c r="LN79" s="978"/>
      <c r="LO79" s="966"/>
      <c r="LP79" s="966"/>
      <c r="LQ79" s="966"/>
      <c r="LR79" s="966"/>
      <c r="LS79" s="966"/>
      <c r="LT79" s="966"/>
      <c r="LU79" s="965"/>
      <c r="LV79" s="966"/>
      <c r="LW79" s="973"/>
      <c r="LX79" s="966"/>
      <c r="LY79" s="973"/>
      <c r="LZ79" s="978"/>
      <c r="MA79" s="978"/>
      <c r="MB79" s="966"/>
      <c r="MC79" s="966"/>
      <c r="MD79" s="966"/>
      <c r="ME79" s="966"/>
      <c r="MF79" s="966"/>
      <c r="MG79" s="966"/>
    </row>
    <row r="80" spans="2:345">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18"/>
        <v>13</v>
      </c>
      <c r="J80" s="197" t="str">
        <f t="shared" si="44"/>
        <v>Colombia</v>
      </c>
      <c r="K80" s="198">
        <f t="shared" si="45"/>
        <v>5</v>
      </c>
      <c r="L80" s="197" t="str">
        <f t="shared" si="46"/>
        <v>Portugal</v>
      </c>
      <c r="M80" s="232"/>
      <c r="N80" s="232"/>
      <c r="O80" s="228"/>
      <c r="P80" s="198" t="str">
        <f t="shared" si="47"/>
        <v/>
      </c>
      <c r="Q80" s="198" t="str">
        <f>IF((P80&lt;&gt;""),IF(OR($F80&lt;&gt;$G80,PrSettings!$M$4="●"),(($F80-$G80)=(M80-N80))*1,0),"")</f>
        <v/>
      </c>
      <c r="R80" s="198" t="str">
        <f t="shared" si="48"/>
        <v/>
      </c>
      <c r="S80" s="198" t="str">
        <f>IF(P80&lt;&gt;"",IF(ABS($F80-$G80)&gt;=PrSettings!$M$7,(ABS($F80-$G80-M80+N80)&lt;=1)*1,IF(AND(P80,$F80=$G80,$F80&gt;=PrSettings!$M$6),(ABS(M80-$F80)&lt;=1)*1,IF(AND(P80,$F80+$G80&gt;=PrSettings!$M$8),(ABS(M80-$F80)+ABS(N80-$G80)&lt;=1)*1,""))),"")</f>
        <v/>
      </c>
      <c r="T80" s="989"/>
      <c r="U80" s="965"/>
      <c r="V80" s="966"/>
      <c r="W80" s="973"/>
      <c r="X80" s="966"/>
      <c r="Y80" s="973"/>
      <c r="Z80" s="978"/>
      <c r="AA80" s="978"/>
      <c r="AB80" s="966"/>
      <c r="AC80" s="966"/>
      <c r="AD80" s="966"/>
      <c r="AE80" s="966"/>
      <c r="AF80" s="966"/>
      <c r="AG80" s="966"/>
      <c r="AH80" s="965"/>
      <c r="AI80" s="966"/>
      <c r="AJ80" s="973"/>
      <c r="AK80" s="966"/>
      <c r="AL80" s="973"/>
      <c r="AM80" s="978"/>
      <c r="AN80" s="978"/>
      <c r="AO80" s="966"/>
      <c r="AP80" s="966"/>
      <c r="AQ80" s="966"/>
      <c r="AR80" s="966"/>
      <c r="AS80" s="966"/>
      <c r="AT80" s="966"/>
      <c r="AU80" s="965"/>
      <c r="AV80" s="966"/>
      <c r="AW80" s="973"/>
      <c r="AX80" s="966"/>
      <c r="AY80" s="973"/>
      <c r="AZ80" s="978"/>
      <c r="BA80" s="978"/>
      <c r="BB80" s="966"/>
      <c r="BC80" s="966"/>
      <c r="BD80" s="966"/>
      <c r="BE80" s="966"/>
      <c r="BF80" s="966"/>
      <c r="BG80" s="966"/>
      <c r="BH80" s="965"/>
      <c r="BI80" s="966"/>
      <c r="BJ80" s="973"/>
      <c r="BK80" s="966"/>
      <c r="BL80" s="973"/>
      <c r="BM80" s="978"/>
      <c r="BN80" s="978"/>
      <c r="BO80" s="966"/>
      <c r="BP80" s="966"/>
      <c r="BQ80" s="966"/>
      <c r="BR80" s="966"/>
      <c r="BS80" s="966"/>
      <c r="BT80" s="966"/>
      <c r="BU80" s="965"/>
      <c r="BV80" s="966"/>
      <c r="BW80" s="973"/>
      <c r="BX80" s="966"/>
      <c r="BY80" s="973"/>
      <c r="BZ80" s="978"/>
      <c r="CA80" s="978"/>
      <c r="CB80" s="966"/>
      <c r="CC80" s="966"/>
      <c r="CD80" s="966"/>
      <c r="CE80" s="966"/>
      <c r="CF80" s="966"/>
      <c r="CG80" s="966"/>
      <c r="CH80" s="965"/>
      <c r="CI80" s="966"/>
      <c r="CJ80" s="973"/>
      <c r="CK80" s="966"/>
      <c r="CL80" s="973"/>
      <c r="CM80" s="978"/>
      <c r="CN80" s="978"/>
      <c r="CO80" s="966"/>
      <c r="CP80" s="966"/>
      <c r="CQ80" s="966"/>
      <c r="CR80" s="966"/>
      <c r="CS80" s="966"/>
      <c r="CT80" s="966"/>
      <c r="CU80" s="965"/>
      <c r="CV80" s="966"/>
      <c r="CW80" s="973"/>
      <c r="CX80" s="966"/>
      <c r="CY80" s="973"/>
      <c r="CZ80" s="978"/>
      <c r="DA80" s="978"/>
      <c r="DB80" s="966"/>
      <c r="DC80" s="966"/>
      <c r="DD80" s="966"/>
      <c r="DE80" s="966"/>
      <c r="DF80" s="966"/>
      <c r="DG80" s="966"/>
      <c r="DH80" s="965"/>
      <c r="DI80" s="966"/>
      <c r="DJ80" s="973"/>
      <c r="DK80" s="966"/>
      <c r="DL80" s="973"/>
      <c r="DM80" s="978"/>
      <c r="DN80" s="978"/>
      <c r="DO80" s="966"/>
      <c r="DP80" s="966"/>
      <c r="DQ80" s="966"/>
      <c r="DR80" s="966"/>
      <c r="DS80" s="966"/>
      <c r="DT80" s="966"/>
      <c r="DU80" s="965"/>
      <c r="DV80" s="966"/>
      <c r="DW80" s="973"/>
      <c r="DX80" s="966"/>
      <c r="DY80" s="973"/>
      <c r="DZ80" s="978"/>
      <c r="EA80" s="978"/>
      <c r="EB80" s="966"/>
      <c r="EC80" s="966"/>
      <c r="ED80" s="966"/>
      <c r="EE80" s="966"/>
      <c r="EF80" s="966"/>
      <c r="EG80" s="966"/>
      <c r="EH80" s="965"/>
      <c r="EI80" s="966"/>
      <c r="EJ80" s="973"/>
      <c r="EK80" s="966"/>
      <c r="EL80" s="973"/>
      <c r="EM80" s="978"/>
      <c r="EN80" s="978"/>
      <c r="EO80" s="966"/>
      <c r="EP80" s="966"/>
      <c r="EQ80" s="966"/>
      <c r="ER80" s="966"/>
      <c r="ES80" s="966"/>
      <c r="ET80" s="966"/>
      <c r="EU80" s="965"/>
      <c r="EV80" s="966"/>
      <c r="EW80" s="973"/>
      <c r="EX80" s="966"/>
      <c r="EY80" s="973"/>
      <c r="EZ80" s="978"/>
      <c r="FA80" s="978"/>
      <c r="FB80" s="966"/>
      <c r="FC80" s="966"/>
      <c r="FD80" s="966"/>
      <c r="FE80" s="966"/>
      <c r="FF80" s="966"/>
      <c r="FG80" s="966"/>
      <c r="FH80" s="965"/>
      <c r="FI80" s="966"/>
      <c r="FJ80" s="973"/>
      <c r="FK80" s="966"/>
      <c r="FL80" s="973"/>
      <c r="FM80" s="978"/>
      <c r="FN80" s="978"/>
      <c r="FO80" s="966"/>
      <c r="FP80" s="966"/>
      <c r="FQ80" s="966"/>
      <c r="FR80" s="966"/>
      <c r="FS80" s="966"/>
      <c r="FT80" s="966"/>
      <c r="FU80" s="965"/>
      <c r="FV80" s="966"/>
      <c r="FW80" s="973"/>
      <c r="FX80" s="966"/>
      <c r="FY80" s="973"/>
      <c r="FZ80" s="978"/>
      <c r="GA80" s="978"/>
      <c r="GB80" s="966"/>
      <c r="GC80" s="966"/>
      <c r="GD80" s="966"/>
      <c r="GE80" s="966"/>
      <c r="GF80" s="966"/>
      <c r="GG80" s="966"/>
      <c r="GH80" s="965"/>
      <c r="GI80" s="966"/>
      <c r="GJ80" s="973"/>
      <c r="GK80" s="966"/>
      <c r="GL80" s="973"/>
      <c r="GM80" s="978"/>
      <c r="GN80" s="978"/>
      <c r="GO80" s="966"/>
      <c r="GP80" s="966"/>
      <c r="GQ80" s="966"/>
      <c r="GR80" s="966"/>
      <c r="GS80" s="966"/>
      <c r="GT80" s="966"/>
      <c r="GU80" s="965"/>
      <c r="GV80" s="966"/>
      <c r="GW80" s="973"/>
      <c r="GX80" s="966"/>
      <c r="GY80" s="973"/>
      <c r="GZ80" s="978"/>
      <c r="HA80" s="978"/>
      <c r="HB80" s="966"/>
      <c r="HC80" s="966"/>
      <c r="HD80" s="966"/>
      <c r="HE80" s="966"/>
      <c r="HF80" s="966"/>
      <c r="HG80" s="966"/>
      <c r="HH80" s="965"/>
      <c r="HI80" s="966"/>
      <c r="HJ80" s="973"/>
      <c r="HK80" s="966"/>
      <c r="HL80" s="973"/>
      <c r="HM80" s="978"/>
      <c r="HN80" s="978"/>
      <c r="HO80" s="966"/>
      <c r="HP80" s="966"/>
      <c r="HQ80" s="966"/>
      <c r="HR80" s="966"/>
      <c r="HS80" s="966"/>
      <c r="HT80" s="966"/>
      <c r="HU80" s="965"/>
      <c r="HV80" s="966"/>
      <c r="HW80" s="973"/>
      <c r="HX80" s="966"/>
      <c r="HY80" s="973"/>
      <c r="HZ80" s="978"/>
      <c r="IA80" s="978"/>
      <c r="IB80" s="966"/>
      <c r="IC80" s="966"/>
      <c r="ID80" s="966"/>
      <c r="IE80" s="966"/>
      <c r="IF80" s="966"/>
      <c r="IG80" s="966"/>
      <c r="IH80" s="965"/>
      <c r="II80" s="966"/>
      <c r="IJ80" s="973"/>
      <c r="IK80" s="966"/>
      <c r="IL80" s="973"/>
      <c r="IM80" s="978"/>
      <c r="IN80" s="978"/>
      <c r="IO80" s="966"/>
      <c r="IP80" s="966"/>
      <c r="IQ80" s="966"/>
      <c r="IR80" s="966"/>
      <c r="IS80" s="966"/>
      <c r="IT80" s="966"/>
      <c r="IU80" s="965"/>
      <c r="IV80" s="966"/>
      <c r="IW80" s="973"/>
      <c r="IX80" s="966"/>
      <c r="IY80" s="973"/>
      <c r="IZ80" s="978"/>
      <c r="JA80" s="978"/>
      <c r="JB80" s="966"/>
      <c r="JC80" s="966"/>
      <c r="JD80" s="966"/>
      <c r="JE80" s="966"/>
      <c r="JF80" s="966"/>
      <c r="JG80" s="966"/>
      <c r="JH80" s="965"/>
      <c r="JI80" s="966"/>
      <c r="JJ80" s="973"/>
      <c r="JK80" s="966"/>
      <c r="JL80" s="973"/>
      <c r="JM80" s="978"/>
      <c r="JN80" s="978"/>
      <c r="JO80" s="966"/>
      <c r="JP80" s="966"/>
      <c r="JQ80" s="966"/>
      <c r="JR80" s="966"/>
      <c r="JS80" s="966"/>
      <c r="JT80" s="966"/>
      <c r="JU80" s="965"/>
      <c r="JV80" s="966"/>
      <c r="JW80" s="973"/>
      <c r="JX80" s="966"/>
      <c r="JY80" s="973"/>
      <c r="JZ80" s="978"/>
      <c r="KA80" s="978"/>
      <c r="KB80" s="966"/>
      <c r="KC80" s="966"/>
      <c r="KD80" s="966"/>
      <c r="KE80" s="966"/>
      <c r="KF80" s="966"/>
      <c r="KG80" s="966"/>
      <c r="KH80" s="965"/>
      <c r="KI80" s="966"/>
      <c r="KJ80" s="973"/>
      <c r="KK80" s="966"/>
      <c r="KL80" s="973"/>
      <c r="KM80" s="978"/>
      <c r="KN80" s="978"/>
      <c r="KO80" s="966"/>
      <c r="KP80" s="966"/>
      <c r="KQ80" s="966"/>
      <c r="KR80" s="966"/>
      <c r="KS80" s="966"/>
      <c r="KT80" s="966"/>
      <c r="KU80" s="965"/>
      <c r="KV80" s="966"/>
      <c r="KW80" s="973"/>
      <c r="KX80" s="966"/>
      <c r="KY80" s="973"/>
      <c r="KZ80" s="978"/>
      <c r="LA80" s="978"/>
      <c r="LB80" s="966"/>
      <c r="LC80" s="966"/>
      <c r="LD80" s="966"/>
      <c r="LE80" s="966"/>
      <c r="LF80" s="966"/>
      <c r="LG80" s="966"/>
      <c r="LH80" s="965"/>
      <c r="LI80" s="966"/>
      <c r="LJ80" s="973"/>
      <c r="LK80" s="966"/>
      <c r="LL80" s="973"/>
      <c r="LM80" s="978"/>
      <c r="LN80" s="978"/>
      <c r="LO80" s="966"/>
      <c r="LP80" s="966"/>
      <c r="LQ80" s="966"/>
      <c r="LR80" s="966"/>
      <c r="LS80" s="966"/>
      <c r="LT80" s="966"/>
      <c r="LU80" s="965"/>
      <c r="LV80" s="966"/>
      <c r="LW80" s="973"/>
      <c r="LX80" s="966"/>
      <c r="LY80" s="973"/>
      <c r="LZ80" s="978"/>
      <c r="MA80" s="978"/>
      <c r="MB80" s="966"/>
      <c r="MC80" s="966"/>
      <c r="MD80" s="966"/>
      <c r="ME80" s="966"/>
      <c r="MF80" s="966"/>
      <c r="MG80" s="966"/>
    </row>
    <row r="81" spans="1:345">
      <c r="B81" s="196">
        <f>INDEX(Groups!$C$7:$C$65,MATCH(C81,Groups!$D$7:$D$65,0))</f>
        <v>46</v>
      </c>
      <c r="C81" s="197" t="str">
        <f>CalcK!$P$27</f>
        <v>DR Congo</v>
      </c>
      <c r="D81" s="198">
        <f>INDEX(Groups!$C$7:$C$65,MATCH(E81,Groups!$D$7:$D$65,0))</f>
        <v>50</v>
      </c>
      <c r="E81" s="197" t="str">
        <f>CalcK!$Q$27</f>
        <v>Oezbekistan</v>
      </c>
      <c r="F81" s="199" t="str">
        <f>CalcK!$R$27</f>
        <v/>
      </c>
      <c r="G81" s="200" t="str">
        <f>CalcK!$S$27</f>
        <v/>
      </c>
      <c r="I81" s="196">
        <f t="shared" si="18"/>
        <v>46</v>
      </c>
      <c r="J81" s="197" t="str">
        <f t="shared" si="44"/>
        <v>DR Congo</v>
      </c>
      <c r="K81" s="198">
        <f t="shared" si="45"/>
        <v>50</v>
      </c>
      <c r="L81" s="197" t="str">
        <f t="shared" si="46"/>
        <v>Oezbekistan</v>
      </c>
      <c r="M81" s="232"/>
      <c r="N81" s="232"/>
      <c r="O81" s="473"/>
      <c r="P81" s="198" t="str">
        <f t="shared" si="47"/>
        <v/>
      </c>
      <c r="Q81" s="198" t="str">
        <f>IF((P81&lt;&gt;""),IF(OR($F81&lt;&gt;$G81,PrSettings!$M$4="●"),(($F81-$G81)=(M81-N81))*1,0),"")</f>
        <v/>
      </c>
      <c r="R81" s="198" t="str">
        <f t="shared" si="48"/>
        <v/>
      </c>
      <c r="S81" s="198" t="str">
        <f>IF(P81&lt;&gt;"",IF(ABS($F81-$G81)&gt;=PrSettings!$M$7,(ABS($F81-$G81-M81+N81)&lt;=1)*1,IF(AND(P81,$F81=$G81,$F81&gt;=PrSettings!$M$6),(ABS(M81-$F81)&lt;=1)*1,IF(AND(P81,$F81+$G81&gt;=PrSettings!$M$8),(ABS(M81-$F81)+ABS(N81-$G81)&lt;=1)*1,""))),"")</f>
        <v/>
      </c>
      <c r="T81" s="990"/>
      <c r="U81" s="965"/>
      <c r="V81" s="966"/>
      <c r="W81" s="973"/>
      <c r="X81" s="966"/>
      <c r="Y81" s="973"/>
      <c r="Z81" s="978"/>
      <c r="AA81" s="978"/>
      <c r="AB81" s="966"/>
      <c r="AC81" s="966"/>
      <c r="AD81" s="966"/>
      <c r="AE81" s="966"/>
      <c r="AF81" s="966"/>
      <c r="AG81" s="966"/>
      <c r="AH81" s="965"/>
      <c r="AI81" s="966"/>
      <c r="AJ81" s="973"/>
      <c r="AK81" s="966"/>
      <c r="AL81" s="973"/>
      <c r="AM81" s="978"/>
      <c r="AN81" s="978"/>
      <c r="AO81" s="966"/>
      <c r="AP81" s="966"/>
      <c r="AQ81" s="966"/>
      <c r="AR81" s="966"/>
      <c r="AS81" s="966"/>
      <c r="AT81" s="966"/>
      <c r="AU81" s="965"/>
      <c r="AV81" s="966"/>
      <c r="AW81" s="973"/>
      <c r="AX81" s="966"/>
      <c r="AY81" s="973"/>
      <c r="AZ81" s="978"/>
      <c r="BA81" s="978"/>
      <c r="BB81" s="966"/>
      <c r="BC81" s="966"/>
      <c r="BD81" s="966"/>
      <c r="BE81" s="966"/>
      <c r="BF81" s="966"/>
      <c r="BG81" s="966"/>
      <c r="BH81" s="965"/>
      <c r="BI81" s="966"/>
      <c r="BJ81" s="973"/>
      <c r="BK81" s="966"/>
      <c r="BL81" s="973"/>
      <c r="BM81" s="978"/>
      <c r="BN81" s="978"/>
      <c r="BO81" s="966"/>
      <c r="BP81" s="966"/>
      <c r="BQ81" s="966"/>
      <c r="BR81" s="966"/>
      <c r="BS81" s="966"/>
      <c r="BT81" s="966"/>
      <c r="BU81" s="965"/>
      <c r="BV81" s="966"/>
      <c r="BW81" s="973"/>
      <c r="BX81" s="966"/>
      <c r="BY81" s="973"/>
      <c r="BZ81" s="978"/>
      <c r="CA81" s="978"/>
      <c r="CB81" s="966"/>
      <c r="CC81" s="966"/>
      <c r="CD81" s="966"/>
      <c r="CE81" s="966"/>
      <c r="CF81" s="966"/>
      <c r="CG81" s="966"/>
      <c r="CH81" s="965"/>
      <c r="CI81" s="966"/>
      <c r="CJ81" s="973"/>
      <c r="CK81" s="966"/>
      <c r="CL81" s="973"/>
      <c r="CM81" s="978"/>
      <c r="CN81" s="978"/>
      <c r="CO81" s="966"/>
      <c r="CP81" s="966"/>
      <c r="CQ81" s="966"/>
      <c r="CR81" s="966"/>
      <c r="CS81" s="966"/>
      <c r="CT81" s="966"/>
      <c r="CU81" s="965"/>
      <c r="CV81" s="966"/>
      <c r="CW81" s="973"/>
      <c r="CX81" s="966"/>
      <c r="CY81" s="973"/>
      <c r="CZ81" s="978"/>
      <c r="DA81" s="978"/>
      <c r="DB81" s="966"/>
      <c r="DC81" s="966"/>
      <c r="DD81" s="966"/>
      <c r="DE81" s="966"/>
      <c r="DF81" s="966"/>
      <c r="DG81" s="966"/>
      <c r="DH81" s="965"/>
      <c r="DI81" s="966"/>
      <c r="DJ81" s="973"/>
      <c r="DK81" s="966"/>
      <c r="DL81" s="973"/>
      <c r="DM81" s="978"/>
      <c r="DN81" s="978"/>
      <c r="DO81" s="966"/>
      <c r="DP81" s="966"/>
      <c r="DQ81" s="966"/>
      <c r="DR81" s="966"/>
      <c r="DS81" s="966"/>
      <c r="DT81" s="966"/>
      <c r="DU81" s="965"/>
      <c r="DV81" s="966"/>
      <c r="DW81" s="973"/>
      <c r="DX81" s="966"/>
      <c r="DY81" s="973"/>
      <c r="DZ81" s="978"/>
      <c r="EA81" s="978"/>
      <c r="EB81" s="966"/>
      <c r="EC81" s="966"/>
      <c r="ED81" s="966"/>
      <c r="EE81" s="966"/>
      <c r="EF81" s="966"/>
      <c r="EG81" s="966"/>
      <c r="EH81" s="965"/>
      <c r="EI81" s="966"/>
      <c r="EJ81" s="973"/>
      <c r="EK81" s="966"/>
      <c r="EL81" s="973"/>
      <c r="EM81" s="978"/>
      <c r="EN81" s="978"/>
      <c r="EO81" s="966"/>
      <c r="EP81" s="966"/>
      <c r="EQ81" s="966"/>
      <c r="ER81" s="966"/>
      <c r="ES81" s="966"/>
      <c r="ET81" s="966"/>
      <c r="EU81" s="965"/>
      <c r="EV81" s="966"/>
      <c r="EW81" s="973"/>
      <c r="EX81" s="966"/>
      <c r="EY81" s="973"/>
      <c r="EZ81" s="978"/>
      <c r="FA81" s="978"/>
      <c r="FB81" s="966"/>
      <c r="FC81" s="966"/>
      <c r="FD81" s="966"/>
      <c r="FE81" s="966"/>
      <c r="FF81" s="966"/>
      <c r="FG81" s="966"/>
      <c r="FH81" s="965"/>
      <c r="FI81" s="966"/>
      <c r="FJ81" s="973"/>
      <c r="FK81" s="966"/>
      <c r="FL81" s="973"/>
      <c r="FM81" s="978"/>
      <c r="FN81" s="978"/>
      <c r="FO81" s="966"/>
      <c r="FP81" s="966"/>
      <c r="FQ81" s="966"/>
      <c r="FR81" s="966"/>
      <c r="FS81" s="966"/>
      <c r="FT81" s="966"/>
      <c r="FU81" s="965"/>
      <c r="FV81" s="966"/>
      <c r="FW81" s="973"/>
      <c r="FX81" s="966"/>
      <c r="FY81" s="973"/>
      <c r="FZ81" s="978"/>
      <c r="GA81" s="978"/>
      <c r="GB81" s="966"/>
      <c r="GC81" s="966"/>
      <c r="GD81" s="966"/>
      <c r="GE81" s="966"/>
      <c r="GF81" s="966"/>
      <c r="GG81" s="966"/>
      <c r="GH81" s="965"/>
      <c r="GI81" s="966"/>
      <c r="GJ81" s="973"/>
      <c r="GK81" s="966"/>
      <c r="GL81" s="973"/>
      <c r="GM81" s="978"/>
      <c r="GN81" s="978"/>
      <c r="GO81" s="966"/>
      <c r="GP81" s="966"/>
      <c r="GQ81" s="966"/>
      <c r="GR81" s="966"/>
      <c r="GS81" s="966"/>
      <c r="GT81" s="966"/>
      <c r="GU81" s="965"/>
      <c r="GV81" s="966"/>
      <c r="GW81" s="973"/>
      <c r="GX81" s="966"/>
      <c r="GY81" s="973"/>
      <c r="GZ81" s="978"/>
      <c r="HA81" s="978"/>
      <c r="HB81" s="966"/>
      <c r="HC81" s="966"/>
      <c r="HD81" s="966"/>
      <c r="HE81" s="966"/>
      <c r="HF81" s="966"/>
      <c r="HG81" s="966"/>
      <c r="HH81" s="965"/>
      <c r="HI81" s="966"/>
      <c r="HJ81" s="973"/>
      <c r="HK81" s="966"/>
      <c r="HL81" s="973"/>
      <c r="HM81" s="978"/>
      <c r="HN81" s="978"/>
      <c r="HO81" s="966"/>
      <c r="HP81" s="966"/>
      <c r="HQ81" s="966"/>
      <c r="HR81" s="966"/>
      <c r="HS81" s="966"/>
      <c r="HT81" s="966"/>
      <c r="HU81" s="965"/>
      <c r="HV81" s="966"/>
      <c r="HW81" s="973"/>
      <c r="HX81" s="966"/>
      <c r="HY81" s="973"/>
      <c r="HZ81" s="978"/>
      <c r="IA81" s="978"/>
      <c r="IB81" s="966"/>
      <c r="IC81" s="966"/>
      <c r="ID81" s="966"/>
      <c r="IE81" s="966"/>
      <c r="IF81" s="966"/>
      <c r="IG81" s="966"/>
      <c r="IH81" s="965"/>
      <c r="II81" s="966"/>
      <c r="IJ81" s="973"/>
      <c r="IK81" s="966"/>
      <c r="IL81" s="973"/>
      <c r="IM81" s="978"/>
      <c r="IN81" s="978"/>
      <c r="IO81" s="966"/>
      <c r="IP81" s="966"/>
      <c r="IQ81" s="966"/>
      <c r="IR81" s="966"/>
      <c r="IS81" s="966"/>
      <c r="IT81" s="966"/>
      <c r="IU81" s="965"/>
      <c r="IV81" s="966"/>
      <c r="IW81" s="973"/>
      <c r="IX81" s="966"/>
      <c r="IY81" s="973"/>
      <c r="IZ81" s="978"/>
      <c r="JA81" s="978"/>
      <c r="JB81" s="966"/>
      <c r="JC81" s="966"/>
      <c r="JD81" s="966"/>
      <c r="JE81" s="966"/>
      <c r="JF81" s="966"/>
      <c r="JG81" s="966"/>
      <c r="JH81" s="965"/>
      <c r="JI81" s="966"/>
      <c r="JJ81" s="973"/>
      <c r="JK81" s="966"/>
      <c r="JL81" s="973"/>
      <c r="JM81" s="978"/>
      <c r="JN81" s="978"/>
      <c r="JO81" s="966"/>
      <c r="JP81" s="966"/>
      <c r="JQ81" s="966"/>
      <c r="JR81" s="966"/>
      <c r="JS81" s="966"/>
      <c r="JT81" s="966"/>
      <c r="JU81" s="965"/>
      <c r="JV81" s="966"/>
      <c r="JW81" s="973"/>
      <c r="JX81" s="966"/>
      <c r="JY81" s="973"/>
      <c r="JZ81" s="978"/>
      <c r="KA81" s="978"/>
      <c r="KB81" s="966"/>
      <c r="KC81" s="966"/>
      <c r="KD81" s="966"/>
      <c r="KE81" s="966"/>
      <c r="KF81" s="966"/>
      <c r="KG81" s="966"/>
      <c r="KH81" s="965"/>
      <c r="KI81" s="966"/>
      <c r="KJ81" s="973"/>
      <c r="KK81" s="966"/>
      <c r="KL81" s="973"/>
      <c r="KM81" s="978"/>
      <c r="KN81" s="978"/>
      <c r="KO81" s="966"/>
      <c r="KP81" s="966"/>
      <c r="KQ81" s="966"/>
      <c r="KR81" s="966"/>
      <c r="KS81" s="966"/>
      <c r="KT81" s="966"/>
      <c r="KU81" s="965"/>
      <c r="KV81" s="966"/>
      <c r="KW81" s="973"/>
      <c r="KX81" s="966"/>
      <c r="KY81" s="973"/>
      <c r="KZ81" s="978"/>
      <c r="LA81" s="978"/>
      <c r="LB81" s="966"/>
      <c r="LC81" s="966"/>
      <c r="LD81" s="966"/>
      <c r="LE81" s="966"/>
      <c r="LF81" s="966"/>
      <c r="LG81" s="966"/>
      <c r="LH81" s="965"/>
      <c r="LI81" s="966"/>
      <c r="LJ81" s="973"/>
      <c r="LK81" s="966"/>
      <c r="LL81" s="973"/>
      <c r="LM81" s="978"/>
      <c r="LN81" s="978"/>
      <c r="LO81" s="966"/>
      <c r="LP81" s="966"/>
      <c r="LQ81" s="966"/>
      <c r="LR81" s="966"/>
      <c r="LS81" s="966"/>
      <c r="LT81" s="966"/>
      <c r="LU81" s="965"/>
      <c r="LV81" s="966"/>
      <c r="LW81" s="973"/>
      <c r="LX81" s="966"/>
      <c r="LY81" s="973"/>
      <c r="LZ81" s="978"/>
      <c r="MA81" s="978"/>
      <c r="MB81" s="966"/>
      <c r="MC81" s="966"/>
      <c r="MD81" s="966"/>
      <c r="ME81" s="966"/>
      <c r="MF81" s="966"/>
      <c r="MG81" s="966"/>
    </row>
    <row r="82" spans="1:345" ht="24" customHeight="1">
      <c r="B82" s="205" t="str">
        <f>Language!$E$130&amp;" L"</f>
        <v>Groep L</v>
      </c>
      <c r="C82" s="206"/>
      <c r="D82" s="211"/>
      <c r="E82" s="208"/>
      <c r="F82" s="212"/>
      <c r="G82" s="213"/>
      <c r="I82" s="205" t="str">
        <f t="shared" si="18"/>
        <v>Groep L</v>
      </c>
      <c r="J82" s="211"/>
      <c r="K82" s="211"/>
      <c r="L82" s="208"/>
      <c r="M82" s="236"/>
      <c r="N82" s="237"/>
      <c r="O82" s="209"/>
      <c r="P82" s="220"/>
      <c r="Q82" s="220"/>
      <c r="R82" s="208"/>
      <c r="S82" s="208"/>
      <c r="T82" s="987"/>
      <c r="U82" s="965"/>
      <c r="V82" s="972"/>
      <c r="W82" s="966"/>
      <c r="X82" s="966"/>
      <c r="Y82" s="973"/>
      <c r="Z82" s="974"/>
      <c r="AA82" s="975"/>
      <c r="AB82" s="976"/>
      <c r="AC82" s="977"/>
      <c r="AD82" s="977"/>
      <c r="AE82" s="973"/>
      <c r="AF82" s="973"/>
      <c r="AG82" s="973"/>
      <c r="AH82" s="965"/>
      <c r="AI82" s="972"/>
      <c r="AJ82" s="966"/>
      <c r="AK82" s="966"/>
      <c r="AL82" s="973"/>
      <c r="AM82" s="974"/>
      <c r="AN82" s="975"/>
      <c r="AO82" s="976"/>
      <c r="AP82" s="977"/>
      <c r="AQ82" s="977"/>
      <c r="AR82" s="973"/>
      <c r="AS82" s="973"/>
      <c r="AT82" s="973"/>
      <c r="AU82" s="965"/>
      <c r="AV82" s="972"/>
      <c r="AW82" s="966"/>
      <c r="AX82" s="966"/>
      <c r="AY82" s="973"/>
      <c r="AZ82" s="974"/>
      <c r="BA82" s="975"/>
      <c r="BB82" s="976"/>
      <c r="BC82" s="977"/>
      <c r="BD82" s="977"/>
      <c r="BE82" s="973"/>
      <c r="BF82" s="973"/>
      <c r="BG82" s="973"/>
      <c r="BH82" s="965"/>
      <c r="BI82" s="972"/>
      <c r="BJ82" s="966"/>
      <c r="BK82" s="966"/>
      <c r="BL82" s="973"/>
      <c r="BM82" s="974"/>
      <c r="BN82" s="975"/>
      <c r="BO82" s="976"/>
      <c r="BP82" s="977"/>
      <c r="BQ82" s="977"/>
      <c r="BR82" s="973"/>
      <c r="BS82" s="973"/>
      <c r="BT82" s="973"/>
      <c r="BU82" s="965"/>
      <c r="BV82" s="972"/>
      <c r="BW82" s="966"/>
      <c r="BX82" s="966"/>
      <c r="BY82" s="973"/>
      <c r="BZ82" s="974"/>
      <c r="CA82" s="975"/>
      <c r="CB82" s="976"/>
      <c r="CC82" s="977"/>
      <c r="CD82" s="977"/>
      <c r="CE82" s="973"/>
      <c r="CF82" s="973"/>
      <c r="CG82" s="973"/>
      <c r="CH82" s="965"/>
      <c r="CI82" s="972"/>
      <c r="CJ82" s="966"/>
      <c r="CK82" s="966"/>
      <c r="CL82" s="973"/>
      <c r="CM82" s="974"/>
      <c r="CN82" s="975"/>
      <c r="CO82" s="976"/>
      <c r="CP82" s="977"/>
      <c r="CQ82" s="977"/>
      <c r="CR82" s="973"/>
      <c r="CS82" s="973"/>
      <c r="CT82" s="973"/>
      <c r="CU82" s="965"/>
      <c r="CV82" s="972"/>
      <c r="CW82" s="966"/>
      <c r="CX82" s="966"/>
      <c r="CY82" s="973"/>
      <c r="CZ82" s="974"/>
      <c r="DA82" s="975"/>
      <c r="DB82" s="976"/>
      <c r="DC82" s="977"/>
      <c r="DD82" s="977"/>
      <c r="DE82" s="973"/>
      <c r="DF82" s="973"/>
      <c r="DG82" s="973"/>
      <c r="DH82" s="965"/>
      <c r="DI82" s="972"/>
      <c r="DJ82" s="966"/>
      <c r="DK82" s="966"/>
      <c r="DL82" s="973"/>
      <c r="DM82" s="974"/>
      <c r="DN82" s="975"/>
      <c r="DO82" s="976"/>
      <c r="DP82" s="977"/>
      <c r="DQ82" s="977"/>
      <c r="DR82" s="973"/>
      <c r="DS82" s="973"/>
      <c r="DT82" s="973"/>
      <c r="DU82" s="965"/>
      <c r="DV82" s="972"/>
      <c r="DW82" s="966"/>
      <c r="DX82" s="966"/>
      <c r="DY82" s="973"/>
      <c r="DZ82" s="974"/>
      <c r="EA82" s="975"/>
      <c r="EB82" s="976"/>
      <c r="EC82" s="977"/>
      <c r="ED82" s="977"/>
      <c r="EE82" s="973"/>
      <c r="EF82" s="973"/>
      <c r="EG82" s="973"/>
      <c r="EH82" s="965"/>
      <c r="EI82" s="972"/>
      <c r="EJ82" s="966"/>
      <c r="EK82" s="966"/>
      <c r="EL82" s="973"/>
      <c r="EM82" s="974"/>
      <c r="EN82" s="975"/>
      <c r="EO82" s="976"/>
      <c r="EP82" s="977"/>
      <c r="EQ82" s="977"/>
      <c r="ER82" s="973"/>
      <c r="ES82" s="973"/>
      <c r="ET82" s="973"/>
      <c r="EU82" s="965"/>
      <c r="EV82" s="972"/>
      <c r="EW82" s="966"/>
      <c r="EX82" s="966"/>
      <c r="EY82" s="973"/>
      <c r="EZ82" s="974"/>
      <c r="FA82" s="975"/>
      <c r="FB82" s="976"/>
      <c r="FC82" s="977"/>
      <c r="FD82" s="977"/>
      <c r="FE82" s="973"/>
      <c r="FF82" s="973"/>
      <c r="FG82" s="973"/>
      <c r="FH82" s="965"/>
      <c r="FI82" s="972"/>
      <c r="FJ82" s="966"/>
      <c r="FK82" s="966"/>
      <c r="FL82" s="973"/>
      <c r="FM82" s="974"/>
      <c r="FN82" s="975"/>
      <c r="FO82" s="976"/>
      <c r="FP82" s="977"/>
      <c r="FQ82" s="977"/>
      <c r="FR82" s="973"/>
      <c r="FS82" s="973"/>
      <c r="FT82" s="973"/>
      <c r="FU82" s="965"/>
      <c r="FV82" s="972"/>
      <c r="FW82" s="966"/>
      <c r="FX82" s="966"/>
      <c r="FY82" s="973"/>
      <c r="FZ82" s="974"/>
      <c r="GA82" s="975"/>
      <c r="GB82" s="976"/>
      <c r="GC82" s="977"/>
      <c r="GD82" s="977"/>
      <c r="GE82" s="973"/>
      <c r="GF82" s="973"/>
      <c r="GG82" s="973"/>
      <c r="GH82" s="965"/>
      <c r="GI82" s="972"/>
      <c r="GJ82" s="966"/>
      <c r="GK82" s="966"/>
      <c r="GL82" s="973"/>
      <c r="GM82" s="974"/>
      <c r="GN82" s="975"/>
      <c r="GO82" s="976"/>
      <c r="GP82" s="977"/>
      <c r="GQ82" s="977"/>
      <c r="GR82" s="973"/>
      <c r="GS82" s="973"/>
      <c r="GT82" s="973"/>
      <c r="GU82" s="965"/>
      <c r="GV82" s="972"/>
      <c r="GW82" s="966"/>
      <c r="GX82" s="966"/>
      <c r="GY82" s="973"/>
      <c r="GZ82" s="974"/>
      <c r="HA82" s="975"/>
      <c r="HB82" s="976"/>
      <c r="HC82" s="977"/>
      <c r="HD82" s="977"/>
      <c r="HE82" s="973"/>
      <c r="HF82" s="973"/>
      <c r="HG82" s="973"/>
      <c r="HH82" s="965"/>
      <c r="HI82" s="972"/>
      <c r="HJ82" s="966"/>
      <c r="HK82" s="966"/>
      <c r="HL82" s="973"/>
      <c r="HM82" s="974"/>
      <c r="HN82" s="975"/>
      <c r="HO82" s="976"/>
      <c r="HP82" s="977"/>
      <c r="HQ82" s="977"/>
      <c r="HR82" s="973"/>
      <c r="HS82" s="973"/>
      <c r="HT82" s="973"/>
      <c r="HU82" s="965"/>
      <c r="HV82" s="972"/>
      <c r="HW82" s="966"/>
      <c r="HX82" s="966"/>
      <c r="HY82" s="973"/>
      <c r="HZ82" s="974"/>
      <c r="IA82" s="975"/>
      <c r="IB82" s="976"/>
      <c r="IC82" s="977"/>
      <c r="ID82" s="977"/>
      <c r="IE82" s="973"/>
      <c r="IF82" s="973"/>
      <c r="IG82" s="973"/>
      <c r="IH82" s="965"/>
      <c r="II82" s="972"/>
      <c r="IJ82" s="966"/>
      <c r="IK82" s="966"/>
      <c r="IL82" s="973"/>
      <c r="IM82" s="974"/>
      <c r="IN82" s="975"/>
      <c r="IO82" s="976"/>
      <c r="IP82" s="977"/>
      <c r="IQ82" s="977"/>
      <c r="IR82" s="973"/>
      <c r="IS82" s="973"/>
      <c r="IT82" s="973"/>
      <c r="IU82" s="965"/>
      <c r="IV82" s="972"/>
      <c r="IW82" s="966"/>
      <c r="IX82" s="966"/>
      <c r="IY82" s="973"/>
      <c r="IZ82" s="974"/>
      <c r="JA82" s="975"/>
      <c r="JB82" s="976"/>
      <c r="JC82" s="977"/>
      <c r="JD82" s="977"/>
      <c r="JE82" s="973"/>
      <c r="JF82" s="973"/>
      <c r="JG82" s="973"/>
      <c r="JH82" s="965"/>
      <c r="JI82" s="972"/>
      <c r="JJ82" s="966"/>
      <c r="JK82" s="966"/>
      <c r="JL82" s="973"/>
      <c r="JM82" s="974"/>
      <c r="JN82" s="975"/>
      <c r="JO82" s="976"/>
      <c r="JP82" s="977"/>
      <c r="JQ82" s="977"/>
      <c r="JR82" s="973"/>
      <c r="JS82" s="973"/>
      <c r="JT82" s="973"/>
      <c r="JU82" s="965"/>
      <c r="JV82" s="972"/>
      <c r="JW82" s="966"/>
      <c r="JX82" s="966"/>
      <c r="JY82" s="973"/>
      <c r="JZ82" s="974"/>
      <c r="KA82" s="975"/>
      <c r="KB82" s="976"/>
      <c r="KC82" s="977"/>
      <c r="KD82" s="977"/>
      <c r="KE82" s="973"/>
      <c r="KF82" s="973"/>
      <c r="KG82" s="973"/>
      <c r="KH82" s="965"/>
      <c r="KI82" s="972"/>
      <c r="KJ82" s="966"/>
      <c r="KK82" s="966"/>
      <c r="KL82" s="973"/>
      <c r="KM82" s="974"/>
      <c r="KN82" s="975"/>
      <c r="KO82" s="976"/>
      <c r="KP82" s="977"/>
      <c r="KQ82" s="977"/>
      <c r="KR82" s="973"/>
      <c r="KS82" s="973"/>
      <c r="KT82" s="973"/>
      <c r="KU82" s="965"/>
      <c r="KV82" s="972"/>
      <c r="KW82" s="966"/>
      <c r="KX82" s="966"/>
      <c r="KY82" s="973"/>
      <c r="KZ82" s="974"/>
      <c r="LA82" s="975"/>
      <c r="LB82" s="976"/>
      <c r="LC82" s="977"/>
      <c r="LD82" s="977"/>
      <c r="LE82" s="973"/>
      <c r="LF82" s="973"/>
      <c r="LG82" s="973"/>
      <c r="LH82" s="965"/>
      <c r="LI82" s="972"/>
      <c r="LJ82" s="966"/>
      <c r="LK82" s="966"/>
      <c r="LL82" s="973"/>
      <c r="LM82" s="974"/>
      <c r="LN82" s="975"/>
      <c r="LO82" s="976"/>
      <c r="LP82" s="977"/>
      <c r="LQ82" s="977"/>
      <c r="LR82" s="973"/>
      <c r="LS82" s="973"/>
      <c r="LT82" s="973"/>
      <c r="LU82" s="965"/>
      <c r="LV82" s="972"/>
      <c r="LW82" s="966"/>
      <c r="LX82" s="966"/>
      <c r="LY82" s="973"/>
      <c r="LZ82" s="974"/>
      <c r="MA82" s="975"/>
      <c r="MB82" s="976"/>
      <c r="MC82" s="977"/>
      <c r="MD82" s="977"/>
      <c r="ME82" s="973"/>
      <c r="MF82" s="973"/>
      <c r="MG82" s="973"/>
    </row>
    <row r="83" spans="1:345">
      <c r="B83" s="196">
        <f>INDEX(Groups!$C$7:$C$65,MATCH(C83,Groups!$D$7:$D$65,0))</f>
        <v>4</v>
      </c>
      <c r="C83" s="197" t="str">
        <f>CalcL!$P$22</f>
        <v>Engeland</v>
      </c>
      <c r="D83" s="198">
        <f>INDEX(Groups!$C$7:$C$65,MATCH(E83,Groups!$D$7:$D$65,0))</f>
        <v>11</v>
      </c>
      <c r="E83" s="197" t="str">
        <f>CalcL!$Q$22</f>
        <v>Kroatië</v>
      </c>
      <c r="F83" s="199" t="str">
        <f>CalcL!$R$22</f>
        <v/>
      </c>
      <c r="G83" s="200" t="str">
        <f>CalcL!$S$22</f>
        <v/>
      </c>
      <c r="I83" s="196">
        <f t="shared" si="18"/>
        <v>4</v>
      </c>
      <c r="J83" s="197" t="str">
        <f t="shared" ref="J83:J88" si="49">$C83</f>
        <v>Engeland</v>
      </c>
      <c r="K83" s="198">
        <f t="shared" ref="K83:K88" si="50">$D83</f>
        <v>11</v>
      </c>
      <c r="L83" s="197" t="str">
        <f t="shared" ref="L83:L88" si="51">$E83</f>
        <v>Kroatië</v>
      </c>
      <c r="M83" s="232"/>
      <c r="N83" s="232"/>
      <c r="O83" s="227"/>
      <c r="P83" s="198" t="str">
        <f t="shared" ref="P83:P88" si="52">IF(($F83&lt;&gt;"")*($G83&lt;&gt;"")*(M83&lt;&gt;"")*(N83&lt;&gt;""),($F83&gt;$G83)*(M83&gt;N83)+($F83=$G83)*(M83=N83)+($F83&lt;$G83)*(M83&lt;N83),"")</f>
        <v/>
      </c>
      <c r="Q83" s="198" t="str">
        <f>IF((P83&lt;&gt;""),IF(OR($F83&lt;&gt;$G83,PrSettings!$M$4="●"),(($F83-$G83)=(M83-N83))*1,0),"")</f>
        <v/>
      </c>
      <c r="R83" s="198" t="str">
        <f t="shared" ref="R83:R88" si="53">IF((P83&lt;&gt;""),($F83=M83)*($G83=N83),"")</f>
        <v/>
      </c>
      <c r="S83" s="198" t="str">
        <f>IF(P83&lt;&gt;"",IF(ABS($F83-$G83)&gt;=PrSettings!$M$7,(ABS($F83-$G83-M83+N83)&lt;=1)*1,IF(AND(P83,$F83=$G83,$F83&gt;=PrSettings!$M$6),(ABS(M83-$F83)&lt;=1)*1,IF(AND(P83,$F83+$G83&gt;=PrSettings!$M$8),(ABS(M83-$F83)+ABS(N83-$G83)&lt;=1)*1,""))),"")</f>
        <v/>
      </c>
      <c r="T83" s="988"/>
      <c r="U83" s="965"/>
      <c r="V83" s="966"/>
      <c r="W83" s="973"/>
      <c r="X83" s="966"/>
      <c r="Y83" s="973"/>
      <c r="Z83" s="978"/>
      <c r="AA83" s="978"/>
      <c r="AB83" s="966"/>
      <c r="AC83" s="966"/>
      <c r="AD83" s="966"/>
      <c r="AE83" s="966"/>
      <c r="AF83" s="966"/>
      <c r="AG83" s="966"/>
      <c r="AH83" s="965"/>
      <c r="AI83" s="966"/>
      <c r="AJ83" s="973"/>
      <c r="AK83" s="966"/>
      <c r="AL83" s="973"/>
      <c r="AM83" s="978"/>
      <c r="AN83" s="978"/>
      <c r="AO83" s="966"/>
      <c r="AP83" s="966"/>
      <c r="AQ83" s="966"/>
      <c r="AR83" s="966"/>
      <c r="AS83" s="966"/>
      <c r="AT83" s="966"/>
      <c r="AU83" s="965"/>
      <c r="AV83" s="966"/>
      <c r="AW83" s="973"/>
      <c r="AX83" s="966"/>
      <c r="AY83" s="973"/>
      <c r="AZ83" s="978"/>
      <c r="BA83" s="978"/>
      <c r="BB83" s="966"/>
      <c r="BC83" s="966"/>
      <c r="BD83" s="966"/>
      <c r="BE83" s="966"/>
      <c r="BF83" s="966"/>
      <c r="BG83" s="966"/>
      <c r="BH83" s="965"/>
      <c r="BI83" s="966"/>
      <c r="BJ83" s="973"/>
      <c r="BK83" s="966"/>
      <c r="BL83" s="973"/>
      <c r="BM83" s="978"/>
      <c r="BN83" s="978"/>
      <c r="BO83" s="966"/>
      <c r="BP83" s="966"/>
      <c r="BQ83" s="966"/>
      <c r="BR83" s="966"/>
      <c r="BS83" s="966"/>
      <c r="BT83" s="966"/>
      <c r="BU83" s="965"/>
      <c r="BV83" s="966"/>
      <c r="BW83" s="973"/>
      <c r="BX83" s="966"/>
      <c r="BY83" s="973"/>
      <c r="BZ83" s="978"/>
      <c r="CA83" s="978"/>
      <c r="CB83" s="966"/>
      <c r="CC83" s="966"/>
      <c r="CD83" s="966"/>
      <c r="CE83" s="966"/>
      <c r="CF83" s="966"/>
      <c r="CG83" s="966"/>
      <c r="CH83" s="965"/>
      <c r="CI83" s="966"/>
      <c r="CJ83" s="973"/>
      <c r="CK83" s="966"/>
      <c r="CL83" s="973"/>
      <c r="CM83" s="978"/>
      <c r="CN83" s="978"/>
      <c r="CO83" s="966"/>
      <c r="CP83" s="966"/>
      <c r="CQ83" s="966"/>
      <c r="CR83" s="966"/>
      <c r="CS83" s="966"/>
      <c r="CT83" s="966"/>
      <c r="CU83" s="965"/>
      <c r="CV83" s="966"/>
      <c r="CW83" s="973"/>
      <c r="CX83" s="966"/>
      <c r="CY83" s="973"/>
      <c r="CZ83" s="978"/>
      <c r="DA83" s="978"/>
      <c r="DB83" s="966"/>
      <c r="DC83" s="966"/>
      <c r="DD83" s="966"/>
      <c r="DE83" s="966"/>
      <c r="DF83" s="966"/>
      <c r="DG83" s="966"/>
      <c r="DH83" s="965"/>
      <c r="DI83" s="966"/>
      <c r="DJ83" s="973"/>
      <c r="DK83" s="966"/>
      <c r="DL83" s="973"/>
      <c r="DM83" s="978"/>
      <c r="DN83" s="978"/>
      <c r="DO83" s="966"/>
      <c r="DP83" s="966"/>
      <c r="DQ83" s="966"/>
      <c r="DR83" s="966"/>
      <c r="DS83" s="966"/>
      <c r="DT83" s="966"/>
      <c r="DU83" s="965"/>
      <c r="DV83" s="966"/>
      <c r="DW83" s="973"/>
      <c r="DX83" s="966"/>
      <c r="DY83" s="973"/>
      <c r="DZ83" s="978"/>
      <c r="EA83" s="978"/>
      <c r="EB83" s="966"/>
      <c r="EC83" s="966"/>
      <c r="ED83" s="966"/>
      <c r="EE83" s="966"/>
      <c r="EF83" s="966"/>
      <c r="EG83" s="966"/>
      <c r="EH83" s="965"/>
      <c r="EI83" s="966"/>
      <c r="EJ83" s="973"/>
      <c r="EK83" s="966"/>
      <c r="EL83" s="973"/>
      <c r="EM83" s="978"/>
      <c r="EN83" s="978"/>
      <c r="EO83" s="966"/>
      <c r="EP83" s="966"/>
      <c r="EQ83" s="966"/>
      <c r="ER83" s="966"/>
      <c r="ES83" s="966"/>
      <c r="ET83" s="966"/>
      <c r="EU83" s="965"/>
      <c r="EV83" s="966"/>
      <c r="EW83" s="973"/>
      <c r="EX83" s="966"/>
      <c r="EY83" s="973"/>
      <c r="EZ83" s="978"/>
      <c r="FA83" s="978"/>
      <c r="FB83" s="966"/>
      <c r="FC83" s="966"/>
      <c r="FD83" s="966"/>
      <c r="FE83" s="966"/>
      <c r="FF83" s="966"/>
      <c r="FG83" s="966"/>
      <c r="FH83" s="965"/>
      <c r="FI83" s="966"/>
      <c r="FJ83" s="973"/>
      <c r="FK83" s="966"/>
      <c r="FL83" s="973"/>
      <c r="FM83" s="978"/>
      <c r="FN83" s="978"/>
      <c r="FO83" s="966"/>
      <c r="FP83" s="966"/>
      <c r="FQ83" s="966"/>
      <c r="FR83" s="966"/>
      <c r="FS83" s="966"/>
      <c r="FT83" s="966"/>
      <c r="FU83" s="965"/>
      <c r="FV83" s="966"/>
      <c r="FW83" s="973"/>
      <c r="FX83" s="966"/>
      <c r="FY83" s="973"/>
      <c r="FZ83" s="978"/>
      <c r="GA83" s="978"/>
      <c r="GB83" s="966"/>
      <c r="GC83" s="966"/>
      <c r="GD83" s="966"/>
      <c r="GE83" s="966"/>
      <c r="GF83" s="966"/>
      <c r="GG83" s="966"/>
      <c r="GH83" s="965"/>
      <c r="GI83" s="966"/>
      <c r="GJ83" s="973"/>
      <c r="GK83" s="966"/>
      <c r="GL83" s="973"/>
      <c r="GM83" s="978"/>
      <c r="GN83" s="978"/>
      <c r="GO83" s="966"/>
      <c r="GP83" s="966"/>
      <c r="GQ83" s="966"/>
      <c r="GR83" s="966"/>
      <c r="GS83" s="966"/>
      <c r="GT83" s="966"/>
      <c r="GU83" s="965"/>
      <c r="GV83" s="966"/>
      <c r="GW83" s="973"/>
      <c r="GX83" s="966"/>
      <c r="GY83" s="973"/>
      <c r="GZ83" s="978"/>
      <c r="HA83" s="978"/>
      <c r="HB83" s="966"/>
      <c r="HC83" s="966"/>
      <c r="HD83" s="966"/>
      <c r="HE83" s="966"/>
      <c r="HF83" s="966"/>
      <c r="HG83" s="966"/>
      <c r="HH83" s="965"/>
      <c r="HI83" s="966"/>
      <c r="HJ83" s="973"/>
      <c r="HK83" s="966"/>
      <c r="HL83" s="973"/>
      <c r="HM83" s="978"/>
      <c r="HN83" s="978"/>
      <c r="HO83" s="966"/>
      <c r="HP83" s="966"/>
      <c r="HQ83" s="966"/>
      <c r="HR83" s="966"/>
      <c r="HS83" s="966"/>
      <c r="HT83" s="966"/>
      <c r="HU83" s="965"/>
      <c r="HV83" s="966"/>
      <c r="HW83" s="973"/>
      <c r="HX83" s="966"/>
      <c r="HY83" s="973"/>
      <c r="HZ83" s="978"/>
      <c r="IA83" s="978"/>
      <c r="IB83" s="966"/>
      <c r="IC83" s="966"/>
      <c r="ID83" s="966"/>
      <c r="IE83" s="966"/>
      <c r="IF83" s="966"/>
      <c r="IG83" s="966"/>
      <c r="IH83" s="965"/>
      <c r="II83" s="966"/>
      <c r="IJ83" s="973"/>
      <c r="IK83" s="966"/>
      <c r="IL83" s="973"/>
      <c r="IM83" s="978"/>
      <c r="IN83" s="978"/>
      <c r="IO83" s="966"/>
      <c r="IP83" s="966"/>
      <c r="IQ83" s="966"/>
      <c r="IR83" s="966"/>
      <c r="IS83" s="966"/>
      <c r="IT83" s="966"/>
      <c r="IU83" s="965"/>
      <c r="IV83" s="966"/>
      <c r="IW83" s="973"/>
      <c r="IX83" s="966"/>
      <c r="IY83" s="973"/>
      <c r="IZ83" s="978"/>
      <c r="JA83" s="978"/>
      <c r="JB83" s="966"/>
      <c r="JC83" s="966"/>
      <c r="JD83" s="966"/>
      <c r="JE83" s="966"/>
      <c r="JF83" s="966"/>
      <c r="JG83" s="966"/>
      <c r="JH83" s="965"/>
      <c r="JI83" s="966"/>
      <c r="JJ83" s="973"/>
      <c r="JK83" s="966"/>
      <c r="JL83" s="973"/>
      <c r="JM83" s="978"/>
      <c r="JN83" s="978"/>
      <c r="JO83" s="966"/>
      <c r="JP83" s="966"/>
      <c r="JQ83" s="966"/>
      <c r="JR83" s="966"/>
      <c r="JS83" s="966"/>
      <c r="JT83" s="966"/>
      <c r="JU83" s="965"/>
      <c r="JV83" s="966"/>
      <c r="JW83" s="973"/>
      <c r="JX83" s="966"/>
      <c r="JY83" s="973"/>
      <c r="JZ83" s="978"/>
      <c r="KA83" s="978"/>
      <c r="KB83" s="966"/>
      <c r="KC83" s="966"/>
      <c r="KD83" s="966"/>
      <c r="KE83" s="966"/>
      <c r="KF83" s="966"/>
      <c r="KG83" s="966"/>
      <c r="KH83" s="965"/>
      <c r="KI83" s="966"/>
      <c r="KJ83" s="973"/>
      <c r="KK83" s="966"/>
      <c r="KL83" s="973"/>
      <c r="KM83" s="978"/>
      <c r="KN83" s="978"/>
      <c r="KO83" s="966"/>
      <c r="KP83" s="966"/>
      <c r="KQ83" s="966"/>
      <c r="KR83" s="966"/>
      <c r="KS83" s="966"/>
      <c r="KT83" s="966"/>
      <c r="KU83" s="965"/>
      <c r="KV83" s="966"/>
      <c r="KW83" s="973"/>
      <c r="KX83" s="966"/>
      <c r="KY83" s="973"/>
      <c r="KZ83" s="978"/>
      <c r="LA83" s="978"/>
      <c r="LB83" s="966"/>
      <c r="LC83" s="966"/>
      <c r="LD83" s="966"/>
      <c r="LE83" s="966"/>
      <c r="LF83" s="966"/>
      <c r="LG83" s="966"/>
      <c r="LH83" s="965"/>
      <c r="LI83" s="966"/>
      <c r="LJ83" s="973"/>
      <c r="LK83" s="966"/>
      <c r="LL83" s="973"/>
      <c r="LM83" s="978"/>
      <c r="LN83" s="978"/>
      <c r="LO83" s="966"/>
      <c r="LP83" s="966"/>
      <c r="LQ83" s="966"/>
      <c r="LR83" s="966"/>
      <c r="LS83" s="966"/>
      <c r="LT83" s="966"/>
      <c r="LU83" s="965"/>
      <c r="LV83" s="966"/>
      <c r="LW83" s="973"/>
      <c r="LX83" s="966"/>
      <c r="LY83" s="973"/>
      <c r="LZ83" s="978"/>
      <c r="MA83" s="978"/>
      <c r="MB83" s="966"/>
      <c r="MC83" s="966"/>
      <c r="MD83" s="966"/>
      <c r="ME83" s="966"/>
      <c r="MF83" s="966"/>
      <c r="MG83" s="966"/>
    </row>
    <row r="84" spans="1:345">
      <c r="B84" s="196">
        <f>INDEX(Groups!$C$7:$C$65,MATCH(C84,Groups!$D$7:$D$65,0))</f>
        <v>74</v>
      </c>
      <c r="C84" s="197" t="str">
        <f>CalcL!$P$23</f>
        <v>Ghana</v>
      </c>
      <c r="D84" s="198">
        <f>INDEX(Groups!$C$7:$C$65,MATCH(E84,Groups!$D$7:$D$65,0))</f>
        <v>33</v>
      </c>
      <c r="E84" s="197" t="str">
        <f>CalcL!$Q$23</f>
        <v>Panama</v>
      </c>
      <c r="F84" s="725" t="str">
        <f>CalcL!$R$23</f>
        <v/>
      </c>
      <c r="G84" s="200" t="str">
        <f>CalcL!$S$23</f>
        <v/>
      </c>
      <c r="I84" s="196">
        <f t="shared" si="18"/>
        <v>74</v>
      </c>
      <c r="J84" s="197" t="str">
        <f t="shared" si="49"/>
        <v>Ghana</v>
      </c>
      <c r="K84" s="198">
        <f t="shared" si="50"/>
        <v>33</v>
      </c>
      <c r="L84" s="197" t="str">
        <f t="shared" si="51"/>
        <v>Panama</v>
      </c>
      <c r="M84" s="232"/>
      <c r="N84" s="232"/>
      <c r="O84" s="228"/>
      <c r="P84" s="198" t="str">
        <f t="shared" si="52"/>
        <v/>
      </c>
      <c r="Q84" s="198" t="str">
        <f>IF((P84&lt;&gt;""),IF(OR($F84&lt;&gt;$G84,PrSettings!$M$4="●"),(($F84-$G84)=(M84-N84))*1,0),"")</f>
        <v/>
      </c>
      <c r="R84" s="198" t="str">
        <f t="shared" si="53"/>
        <v/>
      </c>
      <c r="S84" s="198" t="str">
        <f>IF(P84&lt;&gt;"",IF(ABS($F84-$G84)&gt;=PrSettings!$M$7,(ABS($F84-$G84-M84+N84)&lt;=1)*1,IF(AND(P84,$F84=$G84,$F84&gt;=PrSettings!$M$6),(ABS(M84-$F84)&lt;=1)*1,IF(AND(P84,$F84+$G84&gt;=PrSettings!$M$8),(ABS(M84-$F84)+ABS(N84-$G84)&lt;=1)*1,""))),"")</f>
        <v/>
      </c>
      <c r="T84" s="989"/>
      <c r="U84" s="965"/>
      <c r="V84" s="966"/>
      <c r="W84" s="973"/>
      <c r="X84" s="966"/>
      <c r="Y84" s="973"/>
      <c r="Z84" s="978"/>
      <c r="AA84" s="978"/>
      <c r="AB84" s="966"/>
      <c r="AC84" s="966"/>
      <c r="AD84" s="966"/>
      <c r="AE84" s="966"/>
      <c r="AF84" s="966"/>
      <c r="AG84" s="966"/>
      <c r="AH84" s="965"/>
      <c r="AI84" s="966"/>
      <c r="AJ84" s="973"/>
      <c r="AK84" s="966"/>
      <c r="AL84" s="973"/>
      <c r="AM84" s="978"/>
      <c r="AN84" s="978"/>
      <c r="AO84" s="966"/>
      <c r="AP84" s="966"/>
      <c r="AQ84" s="966"/>
      <c r="AR84" s="966"/>
      <c r="AS84" s="966"/>
      <c r="AT84" s="966"/>
      <c r="AU84" s="965"/>
      <c r="AV84" s="966"/>
      <c r="AW84" s="973"/>
      <c r="AX84" s="966"/>
      <c r="AY84" s="973"/>
      <c r="AZ84" s="978"/>
      <c r="BA84" s="978"/>
      <c r="BB84" s="966"/>
      <c r="BC84" s="966"/>
      <c r="BD84" s="966"/>
      <c r="BE84" s="966"/>
      <c r="BF84" s="966"/>
      <c r="BG84" s="966"/>
      <c r="BH84" s="965"/>
      <c r="BI84" s="966"/>
      <c r="BJ84" s="973"/>
      <c r="BK84" s="966"/>
      <c r="BL84" s="973"/>
      <c r="BM84" s="978"/>
      <c r="BN84" s="978"/>
      <c r="BO84" s="966"/>
      <c r="BP84" s="966"/>
      <c r="BQ84" s="966"/>
      <c r="BR84" s="966"/>
      <c r="BS84" s="966"/>
      <c r="BT84" s="966"/>
      <c r="BU84" s="965"/>
      <c r="BV84" s="966"/>
      <c r="BW84" s="973"/>
      <c r="BX84" s="966"/>
      <c r="BY84" s="973"/>
      <c r="BZ84" s="978"/>
      <c r="CA84" s="978"/>
      <c r="CB84" s="966"/>
      <c r="CC84" s="966"/>
      <c r="CD84" s="966"/>
      <c r="CE84" s="966"/>
      <c r="CF84" s="966"/>
      <c r="CG84" s="966"/>
      <c r="CH84" s="965"/>
      <c r="CI84" s="966"/>
      <c r="CJ84" s="973"/>
      <c r="CK84" s="966"/>
      <c r="CL84" s="973"/>
      <c r="CM84" s="978"/>
      <c r="CN84" s="978"/>
      <c r="CO84" s="966"/>
      <c r="CP84" s="966"/>
      <c r="CQ84" s="966"/>
      <c r="CR84" s="966"/>
      <c r="CS84" s="966"/>
      <c r="CT84" s="966"/>
      <c r="CU84" s="965"/>
      <c r="CV84" s="966"/>
      <c r="CW84" s="973"/>
      <c r="CX84" s="966"/>
      <c r="CY84" s="973"/>
      <c r="CZ84" s="978"/>
      <c r="DA84" s="978"/>
      <c r="DB84" s="966"/>
      <c r="DC84" s="966"/>
      <c r="DD84" s="966"/>
      <c r="DE84" s="966"/>
      <c r="DF84" s="966"/>
      <c r="DG84" s="966"/>
      <c r="DH84" s="965"/>
      <c r="DI84" s="966"/>
      <c r="DJ84" s="973"/>
      <c r="DK84" s="966"/>
      <c r="DL84" s="973"/>
      <c r="DM84" s="978"/>
      <c r="DN84" s="978"/>
      <c r="DO84" s="966"/>
      <c r="DP84" s="966"/>
      <c r="DQ84" s="966"/>
      <c r="DR84" s="966"/>
      <c r="DS84" s="966"/>
      <c r="DT84" s="966"/>
      <c r="DU84" s="965"/>
      <c r="DV84" s="966"/>
      <c r="DW84" s="973"/>
      <c r="DX84" s="966"/>
      <c r="DY84" s="973"/>
      <c r="DZ84" s="978"/>
      <c r="EA84" s="978"/>
      <c r="EB84" s="966"/>
      <c r="EC84" s="966"/>
      <c r="ED84" s="966"/>
      <c r="EE84" s="966"/>
      <c r="EF84" s="966"/>
      <c r="EG84" s="966"/>
      <c r="EH84" s="965"/>
      <c r="EI84" s="966"/>
      <c r="EJ84" s="973"/>
      <c r="EK84" s="966"/>
      <c r="EL84" s="973"/>
      <c r="EM84" s="978"/>
      <c r="EN84" s="978"/>
      <c r="EO84" s="966"/>
      <c r="EP84" s="966"/>
      <c r="EQ84" s="966"/>
      <c r="ER84" s="966"/>
      <c r="ES84" s="966"/>
      <c r="ET84" s="966"/>
      <c r="EU84" s="965"/>
      <c r="EV84" s="966"/>
      <c r="EW84" s="973"/>
      <c r="EX84" s="966"/>
      <c r="EY84" s="973"/>
      <c r="EZ84" s="978"/>
      <c r="FA84" s="978"/>
      <c r="FB84" s="966"/>
      <c r="FC84" s="966"/>
      <c r="FD84" s="966"/>
      <c r="FE84" s="966"/>
      <c r="FF84" s="966"/>
      <c r="FG84" s="966"/>
      <c r="FH84" s="965"/>
      <c r="FI84" s="966"/>
      <c r="FJ84" s="973"/>
      <c r="FK84" s="966"/>
      <c r="FL84" s="973"/>
      <c r="FM84" s="978"/>
      <c r="FN84" s="978"/>
      <c r="FO84" s="966"/>
      <c r="FP84" s="966"/>
      <c r="FQ84" s="966"/>
      <c r="FR84" s="966"/>
      <c r="FS84" s="966"/>
      <c r="FT84" s="966"/>
      <c r="FU84" s="965"/>
      <c r="FV84" s="966"/>
      <c r="FW84" s="973"/>
      <c r="FX84" s="966"/>
      <c r="FY84" s="973"/>
      <c r="FZ84" s="978"/>
      <c r="GA84" s="978"/>
      <c r="GB84" s="966"/>
      <c r="GC84" s="966"/>
      <c r="GD84" s="966"/>
      <c r="GE84" s="966"/>
      <c r="GF84" s="966"/>
      <c r="GG84" s="966"/>
      <c r="GH84" s="965"/>
      <c r="GI84" s="966"/>
      <c r="GJ84" s="973"/>
      <c r="GK84" s="966"/>
      <c r="GL84" s="973"/>
      <c r="GM84" s="978"/>
      <c r="GN84" s="978"/>
      <c r="GO84" s="966"/>
      <c r="GP84" s="966"/>
      <c r="GQ84" s="966"/>
      <c r="GR84" s="966"/>
      <c r="GS84" s="966"/>
      <c r="GT84" s="966"/>
      <c r="GU84" s="965"/>
      <c r="GV84" s="966"/>
      <c r="GW84" s="973"/>
      <c r="GX84" s="966"/>
      <c r="GY84" s="973"/>
      <c r="GZ84" s="978"/>
      <c r="HA84" s="978"/>
      <c r="HB84" s="966"/>
      <c r="HC84" s="966"/>
      <c r="HD84" s="966"/>
      <c r="HE84" s="966"/>
      <c r="HF84" s="966"/>
      <c r="HG84" s="966"/>
      <c r="HH84" s="965"/>
      <c r="HI84" s="966"/>
      <c r="HJ84" s="973"/>
      <c r="HK84" s="966"/>
      <c r="HL84" s="973"/>
      <c r="HM84" s="978"/>
      <c r="HN84" s="978"/>
      <c r="HO84" s="966"/>
      <c r="HP84" s="966"/>
      <c r="HQ84" s="966"/>
      <c r="HR84" s="966"/>
      <c r="HS84" s="966"/>
      <c r="HT84" s="966"/>
      <c r="HU84" s="965"/>
      <c r="HV84" s="966"/>
      <c r="HW84" s="973"/>
      <c r="HX84" s="966"/>
      <c r="HY84" s="973"/>
      <c r="HZ84" s="978"/>
      <c r="IA84" s="978"/>
      <c r="IB84" s="966"/>
      <c r="IC84" s="966"/>
      <c r="ID84" s="966"/>
      <c r="IE84" s="966"/>
      <c r="IF84" s="966"/>
      <c r="IG84" s="966"/>
      <c r="IH84" s="965"/>
      <c r="II84" s="966"/>
      <c r="IJ84" s="973"/>
      <c r="IK84" s="966"/>
      <c r="IL84" s="973"/>
      <c r="IM84" s="978"/>
      <c r="IN84" s="978"/>
      <c r="IO84" s="966"/>
      <c r="IP84" s="966"/>
      <c r="IQ84" s="966"/>
      <c r="IR84" s="966"/>
      <c r="IS84" s="966"/>
      <c r="IT84" s="966"/>
      <c r="IU84" s="965"/>
      <c r="IV84" s="966"/>
      <c r="IW84" s="973"/>
      <c r="IX84" s="966"/>
      <c r="IY84" s="973"/>
      <c r="IZ84" s="978"/>
      <c r="JA84" s="978"/>
      <c r="JB84" s="966"/>
      <c r="JC84" s="966"/>
      <c r="JD84" s="966"/>
      <c r="JE84" s="966"/>
      <c r="JF84" s="966"/>
      <c r="JG84" s="966"/>
      <c r="JH84" s="965"/>
      <c r="JI84" s="966"/>
      <c r="JJ84" s="973"/>
      <c r="JK84" s="966"/>
      <c r="JL84" s="973"/>
      <c r="JM84" s="978"/>
      <c r="JN84" s="978"/>
      <c r="JO84" s="966"/>
      <c r="JP84" s="966"/>
      <c r="JQ84" s="966"/>
      <c r="JR84" s="966"/>
      <c r="JS84" s="966"/>
      <c r="JT84" s="966"/>
      <c r="JU84" s="965"/>
      <c r="JV84" s="966"/>
      <c r="JW84" s="973"/>
      <c r="JX84" s="966"/>
      <c r="JY84" s="973"/>
      <c r="JZ84" s="978"/>
      <c r="KA84" s="978"/>
      <c r="KB84" s="966"/>
      <c r="KC84" s="966"/>
      <c r="KD84" s="966"/>
      <c r="KE84" s="966"/>
      <c r="KF84" s="966"/>
      <c r="KG84" s="966"/>
      <c r="KH84" s="965"/>
      <c r="KI84" s="966"/>
      <c r="KJ84" s="973"/>
      <c r="KK84" s="966"/>
      <c r="KL84" s="973"/>
      <c r="KM84" s="978"/>
      <c r="KN84" s="978"/>
      <c r="KO84" s="966"/>
      <c r="KP84" s="966"/>
      <c r="KQ84" s="966"/>
      <c r="KR84" s="966"/>
      <c r="KS84" s="966"/>
      <c r="KT84" s="966"/>
      <c r="KU84" s="965"/>
      <c r="KV84" s="966"/>
      <c r="KW84" s="973"/>
      <c r="KX84" s="966"/>
      <c r="KY84" s="973"/>
      <c r="KZ84" s="978"/>
      <c r="LA84" s="978"/>
      <c r="LB84" s="966"/>
      <c r="LC84" s="966"/>
      <c r="LD84" s="966"/>
      <c r="LE84" s="966"/>
      <c r="LF84" s="966"/>
      <c r="LG84" s="966"/>
      <c r="LH84" s="965"/>
      <c r="LI84" s="966"/>
      <c r="LJ84" s="973"/>
      <c r="LK84" s="966"/>
      <c r="LL84" s="973"/>
      <c r="LM84" s="978"/>
      <c r="LN84" s="978"/>
      <c r="LO84" s="966"/>
      <c r="LP84" s="966"/>
      <c r="LQ84" s="966"/>
      <c r="LR84" s="966"/>
      <c r="LS84" s="966"/>
      <c r="LT84" s="966"/>
      <c r="LU84" s="965"/>
      <c r="LV84" s="966"/>
      <c r="LW84" s="973"/>
      <c r="LX84" s="966"/>
      <c r="LY84" s="973"/>
      <c r="LZ84" s="978"/>
      <c r="MA84" s="978"/>
      <c r="MB84" s="966"/>
      <c r="MC84" s="966"/>
      <c r="MD84" s="966"/>
      <c r="ME84" s="966"/>
      <c r="MF84" s="966"/>
      <c r="MG84" s="966"/>
    </row>
    <row r="85" spans="1:345">
      <c r="B85" s="196">
        <f>INDEX(Groups!$C$7:$C$65,MATCH(C85,Groups!$D$7:$D$65,0))</f>
        <v>4</v>
      </c>
      <c r="C85" s="197" t="str">
        <f>CalcL!$P$24</f>
        <v>Engeland</v>
      </c>
      <c r="D85" s="198">
        <f>INDEX(Groups!$C$7:$C$65,MATCH(E85,Groups!$D$7:$D$65,0))</f>
        <v>74</v>
      </c>
      <c r="E85" s="197" t="str">
        <f>CalcL!$Q$24</f>
        <v>Ghana</v>
      </c>
      <c r="F85" s="199" t="str">
        <f>CalcL!$R$24</f>
        <v/>
      </c>
      <c r="G85" s="200" t="str">
        <f>CalcL!$S$24</f>
        <v/>
      </c>
      <c r="I85" s="196">
        <f t="shared" si="18"/>
        <v>4</v>
      </c>
      <c r="J85" s="197" t="str">
        <f t="shared" si="49"/>
        <v>Engeland</v>
      </c>
      <c r="K85" s="198">
        <f t="shared" si="50"/>
        <v>74</v>
      </c>
      <c r="L85" s="197" t="str">
        <f t="shared" si="51"/>
        <v>Ghana</v>
      </c>
      <c r="M85" s="232"/>
      <c r="N85" s="232"/>
      <c r="O85" s="228"/>
      <c r="P85" s="198" t="str">
        <f t="shared" si="52"/>
        <v/>
      </c>
      <c r="Q85" s="198" t="str">
        <f>IF((P85&lt;&gt;""),IF(OR($F85&lt;&gt;$G85,PrSettings!$M$4="●"),(($F85-$G85)=(M85-N85))*1,0),"")</f>
        <v/>
      </c>
      <c r="R85" s="198" t="str">
        <f t="shared" si="53"/>
        <v/>
      </c>
      <c r="S85" s="198" t="str">
        <f>IF(P85&lt;&gt;"",IF(ABS($F85-$G85)&gt;=PrSettings!$M$7,(ABS($F85-$G85-M85+N85)&lt;=1)*1,IF(AND(P85,$F85=$G85,$F85&gt;=PrSettings!$M$6),(ABS(M85-$F85)&lt;=1)*1,IF(AND(P85,$F85+$G85&gt;=PrSettings!$M$8),(ABS(M85-$F85)+ABS(N85-$G85)&lt;=1)*1,""))),"")</f>
        <v/>
      </c>
      <c r="T85" s="989"/>
      <c r="U85" s="965"/>
      <c r="V85" s="966"/>
      <c r="W85" s="973"/>
      <c r="X85" s="966"/>
      <c r="Y85" s="973"/>
      <c r="Z85" s="978"/>
      <c r="AA85" s="978"/>
      <c r="AB85" s="966"/>
      <c r="AC85" s="966"/>
      <c r="AD85" s="966"/>
      <c r="AE85" s="966"/>
      <c r="AF85" s="966"/>
      <c r="AG85" s="966"/>
      <c r="AH85" s="965"/>
      <c r="AI85" s="966"/>
      <c r="AJ85" s="973"/>
      <c r="AK85" s="966"/>
      <c r="AL85" s="973"/>
      <c r="AM85" s="978"/>
      <c r="AN85" s="978"/>
      <c r="AO85" s="966"/>
      <c r="AP85" s="966"/>
      <c r="AQ85" s="966"/>
      <c r="AR85" s="966"/>
      <c r="AS85" s="966"/>
      <c r="AT85" s="966"/>
      <c r="AU85" s="965"/>
      <c r="AV85" s="966"/>
      <c r="AW85" s="973"/>
      <c r="AX85" s="966"/>
      <c r="AY85" s="973"/>
      <c r="AZ85" s="978"/>
      <c r="BA85" s="978"/>
      <c r="BB85" s="966"/>
      <c r="BC85" s="966"/>
      <c r="BD85" s="966"/>
      <c r="BE85" s="966"/>
      <c r="BF85" s="966"/>
      <c r="BG85" s="966"/>
      <c r="BH85" s="965"/>
      <c r="BI85" s="966"/>
      <c r="BJ85" s="973"/>
      <c r="BK85" s="966"/>
      <c r="BL85" s="973"/>
      <c r="BM85" s="978"/>
      <c r="BN85" s="978"/>
      <c r="BO85" s="966"/>
      <c r="BP85" s="966"/>
      <c r="BQ85" s="966"/>
      <c r="BR85" s="966"/>
      <c r="BS85" s="966"/>
      <c r="BT85" s="966"/>
      <c r="BU85" s="965"/>
      <c r="BV85" s="966"/>
      <c r="BW85" s="973"/>
      <c r="BX85" s="966"/>
      <c r="BY85" s="973"/>
      <c r="BZ85" s="978"/>
      <c r="CA85" s="978"/>
      <c r="CB85" s="966"/>
      <c r="CC85" s="966"/>
      <c r="CD85" s="966"/>
      <c r="CE85" s="966"/>
      <c r="CF85" s="966"/>
      <c r="CG85" s="966"/>
      <c r="CH85" s="965"/>
      <c r="CI85" s="966"/>
      <c r="CJ85" s="973"/>
      <c r="CK85" s="966"/>
      <c r="CL85" s="973"/>
      <c r="CM85" s="978"/>
      <c r="CN85" s="978"/>
      <c r="CO85" s="966"/>
      <c r="CP85" s="966"/>
      <c r="CQ85" s="966"/>
      <c r="CR85" s="966"/>
      <c r="CS85" s="966"/>
      <c r="CT85" s="966"/>
      <c r="CU85" s="965"/>
      <c r="CV85" s="966"/>
      <c r="CW85" s="973"/>
      <c r="CX85" s="966"/>
      <c r="CY85" s="973"/>
      <c r="CZ85" s="978"/>
      <c r="DA85" s="978"/>
      <c r="DB85" s="966"/>
      <c r="DC85" s="966"/>
      <c r="DD85" s="966"/>
      <c r="DE85" s="966"/>
      <c r="DF85" s="966"/>
      <c r="DG85" s="966"/>
      <c r="DH85" s="965"/>
      <c r="DI85" s="966"/>
      <c r="DJ85" s="973"/>
      <c r="DK85" s="966"/>
      <c r="DL85" s="973"/>
      <c r="DM85" s="978"/>
      <c r="DN85" s="978"/>
      <c r="DO85" s="966"/>
      <c r="DP85" s="966"/>
      <c r="DQ85" s="966"/>
      <c r="DR85" s="966"/>
      <c r="DS85" s="966"/>
      <c r="DT85" s="966"/>
      <c r="DU85" s="965"/>
      <c r="DV85" s="966"/>
      <c r="DW85" s="973"/>
      <c r="DX85" s="966"/>
      <c r="DY85" s="973"/>
      <c r="DZ85" s="978"/>
      <c r="EA85" s="978"/>
      <c r="EB85" s="966"/>
      <c r="EC85" s="966"/>
      <c r="ED85" s="966"/>
      <c r="EE85" s="966"/>
      <c r="EF85" s="966"/>
      <c r="EG85" s="966"/>
      <c r="EH85" s="965"/>
      <c r="EI85" s="966"/>
      <c r="EJ85" s="973"/>
      <c r="EK85" s="966"/>
      <c r="EL85" s="973"/>
      <c r="EM85" s="978"/>
      <c r="EN85" s="978"/>
      <c r="EO85" s="966"/>
      <c r="EP85" s="966"/>
      <c r="EQ85" s="966"/>
      <c r="ER85" s="966"/>
      <c r="ES85" s="966"/>
      <c r="ET85" s="966"/>
      <c r="EU85" s="965"/>
      <c r="EV85" s="966"/>
      <c r="EW85" s="973"/>
      <c r="EX85" s="966"/>
      <c r="EY85" s="973"/>
      <c r="EZ85" s="978"/>
      <c r="FA85" s="978"/>
      <c r="FB85" s="966"/>
      <c r="FC85" s="966"/>
      <c r="FD85" s="966"/>
      <c r="FE85" s="966"/>
      <c r="FF85" s="966"/>
      <c r="FG85" s="966"/>
      <c r="FH85" s="965"/>
      <c r="FI85" s="966"/>
      <c r="FJ85" s="973"/>
      <c r="FK85" s="966"/>
      <c r="FL85" s="973"/>
      <c r="FM85" s="978"/>
      <c r="FN85" s="978"/>
      <c r="FO85" s="966"/>
      <c r="FP85" s="966"/>
      <c r="FQ85" s="966"/>
      <c r="FR85" s="966"/>
      <c r="FS85" s="966"/>
      <c r="FT85" s="966"/>
      <c r="FU85" s="965"/>
      <c r="FV85" s="966"/>
      <c r="FW85" s="973"/>
      <c r="FX85" s="966"/>
      <c r="FY85" s="973"/>
      <c r="FZ85" s="978"/>
      <c r="GA85" s="978"/>
      <c r="GB85" s="966"/>
      <c r="GC85" s="966"/>
      <c r="GD85" s="966"/>
      <c r="GE85" s="966"/>
      <c r="GF85" s="966"/>
      <c r="GG85" s="966"/>
      <c r="GH85" s="965"/>
      <c r="GI85" s="966"/>
      <c r="GJ85" s="973"/>
      <c r="GK85" s="966"/>
      <c r="GL85" s="973"/>
      <c r="GM85" s="978"/>
      <c r="GN85" s="978"/>
      <c r="GO85" s="966"/>
      <c r="GP85" s="966"/>
      <c r="GQ85" s="966"/>
      <c r="GR85" s="966"/>
      <c r="GS85" s="966"/>
      <c r="GT85" s="966"/>
      <c r="GU85" s="965"/>
      <c r="GV85" s="966"/>
      <c r="GW85" s="973"/>
      <c r="GX85" s="966"/>
      <c r="GY85" s="973"/>
      <c r="GZ85" s="978"/>
      <c r="HA85" s="978"/>
      <c r="HB85" s="966"/>
      <c r="HC85" s="966"/>
      <c r="HD85" s="966"/>
      <c r="HE85" s="966"/>
      <c r="HF85" s="966"/>
      <c r="HG85" s="966"/>
      <c r="HH85" s="965"/>
      <c r="HI85" s="966"/>
      <c r="HJ85" s="973"/>
      <c r="HK85" s="966"/>
      <c r="HL85" s="973"/>
      <c r="HM85" s="978"/>
      <c r="HN85" s="978"/>
      <c r="HO85" s="966"/>
      <c r="HP85" s="966"/>
      <c r="HQ85" s="966"/>
      <c r="HR85" s="966"/>
      <c r="HS85" s="966"/>
      <c r="HT85" s="966"/>
      <c r="HU85" s="965"/>
      <c r="HV85" s="966"/>
      <c r="HW85" s="973"/>
      <c r="HX85" s="966"/>
      <c r="HY85" s="973"/>
      <c r="HZ85" s="978"/>
      <c r="IA85" s="978"/>
      <c r="IB85" s="966"/>
      <c r="IC85" s="966"/>
      <c r="ID85" s="966"/>
      <c r="IE85" s="966"/>
      <c r="IF85" s="966"/>
      <c r="IG85" s="966"/>
      <c r="IH85" s="965"/>
      <c r="II85" s="966"/>
      <c r="IJ85" s="973"/>
      <c r="IK85" s="966"/>
      <c r="IL85" s="973"/>
      <c r="IM85" s="978"/>
      <c r="IN85" s="978"/>
      <c r="IO85" s="966"/>
      <c r="IP85" s="966"/>
      <c r="IQ85" s="966"/>
      <c r="IR85" s="966"/>
      <c r="IS85" s="966"/>
      <c r="IT85" s="966"/>
      <c r="IU85" s="965"/>
      <c r="IV85" s="966"/>
      <c r="IW85" s="973"/>
      <c r="IX85" s="966"/>
      <c r="IY85" s="973"/>
      <c r="IZ85" s="978"/>
      <c r="JA85" s="978"/>
      <c r="JB85" s="966"/>
      <c r="JC85" s="966"/>
      <c r="JD85" s="966"/>
      <c r="JE85" s="966"/>
      <c r="JF85" s="966"/>
      <c r="JG85" s="966"/>
      <c r="JH85" s="965"/>
      <c r="JI85" s="966"/>
      <c r="JJ85" s="973"/>
      <c r="JK85" s="966"/>
      <c r="JL85" s="973"/>
      <c r="JM85" s="978"/>
      <c r="JN85" s="978"/>
      <c r="JO85" s="966"/>
      <c r="JP85" s="966"/>
      <c r="JQ85" s="966"/>
      <c r="JR85" s="966"/>
      <c r="JS85" s="966"/>
      <c r="JT85" s="966"/>
      <c r="JU85" s="965"/>
      <c r="JV85" s="966"/>
      <c r="JW85" s="973"/>
      <c r="JX85" s="966"/>
      <c r="JY85" s="973"/>
      <c r="JZ85" s="978"/>
      <c r="KA85" s="978"/>
      <c r="KB85" s="966"/>
      <c r="KC85" s="966"/>
      <c r="KD85" s="966"/>
      <c r="KE85" s="966"/>
      <c r="KF85" s="966"/>
      <c r="KG85" s="966"/>
      <c r="KH85" s="965"/>
      <c r="KI85" s="966"/>
      <c r="KJ85" s="973"/>
      <c r="KK85" s="966"/>
      <c r="KL85" s="973"/>
      <c r="KM85" s="978"/>
      <c r="KN85" s="978"/>
      <c r="KO85" s="966"/>
      <c r="KP85" s="966"/>
      <c r="KQ85" s="966"/>
      <c r="KR85" s="966"/>
      <c r="KS85" s="966"/>
      <c r="KT85" s="966"/>
      <c r="KU85" s="965"/>
      <c r="KV85" s="966"/>
      <c r="KW85" s="973"/>
      <c r="KX85" s="966"/>
      <c r="KY85" s="973"/>
      <c r="KZ85" s="978"/>
      <c r="LA85" s="978"/>
      <c r="LB85" s="966"/>
      <c r="LC85" s="966"/>
      <c r="LD85" s="966"/>
      <c r="LE85" s="966"/>
      <c r="LF85" s="966"/>
      <c r="LG85" s="966"/>
      <c r="LH85" s="965"/>
      <c r="LI85" s="966"/>
      <c r="LJ85" s="973"/>
      <c r="LK85" s="966"/>
      <c r="LL85" s="973"/>
      <c r="LM85" s="978"/>
      <c r="LN85" s="978"/>
      <c r="LO85" s="966"/>
      <c r="LP85" s="966"/>
      <c r="LQ85" s="966"/>
      <c r="LR85" s="966"/>
      <c r="LS85" s="966"/>
      <c r="LT85" s="966"/>
      <c r="LU85" s="965"/>
      <c r="LV85" s="966"/>
      <c r="LW85" s="973"/>
      <c r="LX85" s="966"/>
      <c r="LY85" s="973"/>
      <c r="LZ85" s="978"/>
      <c r="MA85" s="978"/>
      <c r="MB85" s="966"/>
      <c r="MC85" s="966"/>
      <c r="MD85" s="966"/>
      <c r="ME85" s="966"/>
      <c r="MF85" s="966"/>
      <c r="MG85" s="966"/>
    </row>
    <row r="86" spans="1:345">
      <c r="B86" s="196">
        <f>INDEX(Groups!$C$7:$C$65,MATCH(C86,Groups!$D$7:$D$65,0))</f>
        <v>33</v>
      </c>
      <c r="C86" s="197" t="str">
        <f>CalcL!$P$25</f>
        <v>Panama</v>
      </c>
      <c r="D86" s="198">
        <f>INDEX(Groups!$C$7:$C$65,MATCH(E86,Groups!$D$7:$D$65,0))</f>
        <v>11</v>
      </c>
      <c r="E86" s="197" t="str">
        <f>CalcL!$Q$25</f>
        <v>Kroatië</v>
      </c>
      <c r="F86" s="199" t="str">
        <f>CalcL!$R$25</f>
        <v/>
      </c>
      <c r="G86" s="200" t="str">
        <f>CalcL!$S$25</f>
        <v/>
      </c>
      <c r="I86" s="196">
        <f t="shared" si="18"/>
        <v>33</v>
      </c>
      <c r="J86" s="197" t="str">
        <f t="shared" si="49"/>
        <v>Panama</v>
      </c>
      <c r="K86" s="198">
        <f t="shared" si="50"/>
        <v>11</v>
      </c>
      <c r="L86" s="197" t="str">
        <f t="shared" si="51"/>
        <v>Kroatië</v>
      </c>
      <c r="M86" s="232"/>
      <c r="N86" s="232"/>
      <c r="O86" s="228"/>
      <c r="P86" s="198" t="str">
        <f t="shared" si="52"/>
        <v/>
      </c>
      <c r="Q86" s="198" t="str">
        <f>IF((P86&lt;&gt;""),IF(OR($F86&lt;&gt;$G86,PrSettings!$M$4="●"),(($F86-$G86)=(M86-N86))*1,0),"")</f>
        <v/>
      </c>
      <c r="R86" s="198" t="str">
        <f t="shared" si="53"/>
        <v/>
      </c>
      <c r="S86" s="198" t="str">
        <f>IF(P86&lt;&gt;"",IF(ABS($F86-$G86)&gt;=PrSettings!$M$7,(ABS($F86-$G86-M86+N86)&lt;=1)*1,IF(AND(P86,$F86=$G86,$F86&gt;=PrSettings!$M$6),(ABS(M86-$F86)&lt;=1)*1,IF(AND(P86,$F86+$G86&gt;=PrSettings!$M$8),(ABS(M86-$F86)+ABS(N86-$G86)&lt;=1)*1,""))),"")</f>
        <v/>
      </c>
      <c r="T86" s="989"/>
      <c r="U86" s="965"/>
      <c r="V86" s="966"/>
      <c r="W86" s="973"/>
      <c r="X86" s="966"/>
      <c r="Y86" s="973"/>
      <c r="Z86" s="978"/>
      <c r="AA86" s="978"/>
      <c r="AB86" s="966"/>
      <c r="AC86" s="966"/>
      <c r="AD86" s="966"/>
      <c r="AE86" s="966"/>
      <c r="AF86" s="966"/>
      <c r="AG86" s="966"/>
      <c r="AH86" s="965"/>
      <c r="AI86" s="966"/>
      <c r="AJ86" s="973"/>
      <c r="AK86" s="966"/>
      <c r="AL86" s="973"/>
      <c r="AM86" s="978"/>
      <c r="AN86" s="978"/>
      <c r="AO86" s="966"/>
      <c r="AP86" s="966"/>
      <c r="AQ86" s="966"/>
      <c r="AR86" s="966"/>
      <c r="AS86" s="966"/>
      <c r="AT86" s="966"/>
      <c r="AU86" s="965"/>
      <c r="AV86" s="966"/>
      <c r="AW86" s="973"/>
      <c r="AX86" s="966"/>
      <c r="AY86" s="973"/>
      <c r="AZ86" s="978"/>
      <c r="BA86" s="978"/>
      <c r="BB86" s="966"/>
      <c r="BC86" s="966"/>
      <c r="BD86" s="966"/>
      <c r="BE86" s="966"/>
      <c r="BF86" s="966"/>
      <c r="BG86" s="966"/>
      <c r="BH86" s="965"/>
      <c r="BI86" s="966"/>
      <c r="BJ86" s="973"/>
      <c r="BK86" s="966"/>
      <c r="BL86" s="973"/>
      <c r="BM86" s="978"/>
      <c r="BN86" s="978"/>
      <c r="BO86" s="966"/>
      <c r="BP86" s="966"/>
      <c r="BQ86" s="966"/>
      <c r="BR86" s="966"/>
      <c r="BS86" s="966"/>
      <c r="BT86" s="966"/>
      <c r="BU86" s="965"/>
      <c r="BV86" s="966"/>
      <c r="BW86" s="973"/>
      <c r="BX86" s="966"/>
      <c r="BY86" s="973"/>
      <c r="BZ86" s="978"/>
      <c r="CA86" s="978"/>
      <c r="CB86" s="966"/>
      <c r="CC86" s="966"/>
      <c r="CD86" s="966"/>
      <c r="CE86" s="966"/>
      <c r="CF86" s="966"/>
      <c r="CG86" s="966"/>
      <c r="CH86" s="965"/>
      <c r="CI86" s="966"/>
      <c r="CJ86" s="973"/>
      <c r="CK86" s="966"/>
      <c r="CL86" s="973"/>
      <c r="CM86" s="978"/>
      <c r="CN86" s="978"/>
      <c r="CO86" s="966"/>
      <c r="CP86" s="966"/>
      <c r="CQ86" s="966"/>
      <c r="CR86" s="966"/>
      <c r="CS86" s="966"/>
      <c r="CT86" s="966"/>
      <c r="CU86" s="965"/>
      <c r="CV86" s="966"/>
      <c r="CW86" s="973"/>
      <c r="CX86" s="966"/>
      <c r="CY86" s="973"/>
      <c r="CZ86" s="978"/>
      <c r="DA86" s="978"/>
      <c r="DB86" s="966"/>
      <c r="DC86" s="966"/>
      <c r="DD86" s="966"/>
      <c r="DE86" s="966"/>
      <c r="DF86" s="966"/>
      <c r="DG86" s="966"/>
      <c r="DH86" s="965"/>
      <c r="DI86" s="966"/>
      <c r="DJ86" s="973"/>
      <c r="DK86" s="966"/>
      <c r="DL86" s="973"/>
      <c r="DM86" s="978"/>
      <c r="DN86" s="978"/>
      <c r="DO86" s="966"/>
      <c r="DP86" s="966"/>
      <c r="DQ86" s="966"/>
      <c r="DR86" s="966"/>
      <c r="DS86" s="966"/>
      <c r="DT86" s="966"/>
      <c r="DU86" s="965"/>
      <c r="DV86" s="966"/>
      <c r="DW86" s="973"/>
      <c r="DX86" s="966"/>
      <c r="DY86" s="973"/>
      <c r="DZ86" s="978"/>
      <c r="EA86" s="978"/>
      <c r="EB86" s="966"/>
      <c r="EC86" s="966"/>
      <c r="ED86" s="966"/>
      <c r="EE86" s="966"/>
      <c r="EF86" s="966"/>
      <c r="EG86" s="966"/>
      <c r="EH86" s="965"/>
      <c r="EI86" s="966"/>
      <c r="EJ86" s="973"/>
      <c r="EK86" s="966"/>
      <c r="EL86" s="973"/>
      <c r="EM86" s="978"/>
      <c r="EN86" s="978"/>
      <c r="EO86" s="966"/>
      <c r="EP86" s="966"/>
      <c r="EQ86" s="966"/>
      <c r="ER86" s="966"/>
      <c r="ES86" s="966"/>
      <c r="ET86" s="966"/>
      <c r="EU86" s="965"/>
      <c r="EV86" s="966"/>
      <c r="EW86" s="973"/>
      <c r="EX86" s="966"/>
      <c r="EY86" s="973"/>
      <c r="EZ86" s="978"/>
      <c r="FA86" s="978"/>
      <c r="FB86" s="966"/>
      <c r="FC86" s="966"/>
      <c r="FD86" s="966"/>
      <c r="FE86" s="966"/>
      <c r="FF86" s="966"/>
      <c r="FG86" s="966"/>
      <c r="FH86" s="965"/>
      <c r="FI86" s="966"/>
      <c r="FJ86" s="973"/>
      <c r="FK86" s="966"/>
      <c r="FL86" s="973"/>
      <c r="FM86" s="978"/>
      <c r="FN86" s="978"/>
      <c r="FO86" s="966"/>
      <c r="FP86" s="966"/>
      <c r="FQ86" s="966"/>
      <c r="FR86" s="966"/>
      <c r="FS86" s="966"/>
      <c r="FT86" s="966"/>
      <c r="FU86" s="965"/>
      <c r="FV86" s="966"/>
      <c r="FW86" s="973"/>
      <c r="FX86" s="966"/>
      <c r="FY86" s="973"/>
      <c r="FZ86" s="978"/>
      <c r="GA86" s="978"/>
      <c r="GB86" s="966"/>
      <c r="GC86" s="966"/>
      <c r="GD86" s="966"/>
      <c r="GE86" s="966"/>
      <c r="GF86" s="966"/>
      <c r="GG86" s="966"/>
      <c r="GH86" s="965"/>
      <c r="GI86" s="966"/>
      <c r="GJ86" s="973"/>
      <c r="GK86" s="966"/>
      <c r="GL86" s="973"/>
      <c r="GM86" s="978"/>
      <c r="GN86" s="978"/>
      <c r="GO86" s="966"/>
      <c r="GP86" s="966"/>
      <c r="GQ86" s="966"/>
      <c r="GR86" s="966"/>
      <c r="GS86" s="966"/>
      <c r="GT86" s="966"/>
      <c r="GU86" s="965"/>
      <c r="GV86" s="966"/>
      <c r="GW86" s="973"/>
      <c r="GX86" s="966"/>
      <c r="GY86" s="973"/>
      <c r="GZ86" s="978"/>
      <c r="HA86" s="978"/>
      <c r="HB86" s="966"/>
      <c r="HC86" s="966"/>
      <c r="HD86" s="966"/>
      <c r="HE86" s="966"/>
      <c r="HF86" s="966"/>
      <c r="HG86" s="966"/>
      <c r="HH86" s="965"/>
      <c r="HI86" s="966"/>
      <c r="HJ86" s="973"/>
      <c r="HK86" s="966"/>
      <c r="HL86" s="973"/>
      <c r="HM86" s="978"/>
      <c r="HN86" s="978"/>
      <c r="HO86" s="966"/>
      <c r="HP86" s="966"/>
      <c r="HQ86" s="966"/>
      <c r="HR86" s="966"/>
      <c r="HS86" s="966"/>
      <c r="HT86" s="966"/>
      <c r="HU86" s="965"/>
      <c r="HV86" s="966"/>
      <c r="HW86" s="973"/>
      <c r="HX86" s="966"/>
      <c r="HY86" s="973"/>
      <c r="HZ86" s="978"/>
      <c r="IA86" s="978"/>
      <c r="IB86" s="966"/>
      <c r="IC86" s="966"/>
      <c r="ID86" s="966"/>
      <c r="IE86" s="966"/>
      <c r="IF86" s="966"/>
      <c r="IG86" s="966"/>
      <c r="IH86" s="965"/>
      <c r="II86" s="966"/>
      <c r="IJ86" s="973"/>
      <c r="IK86" s="966"/>
      <c r="IL86" s="973"/>
      <c r="IM86" s="978"/>
      <c r="IN86" s="978"/>
      <c r="IO86" s="966"/>
      <c r="IP86" s="966"/>
      <c r="IQ86" s="966"/>
      <c r="IR86" s="966"/>
      <c r="IS86" s="966"/>
      <c r="IT86" s="966"/>
      <c r="IU86" s="965"/>
      <c r="IV86" s="966"/>
      <c r="IW86" s="973"/>
      <c r="IX86" s="966"/>
      <c r="IY86" s="973"/>
      <c r="IZ86" s="978"/>
      <c r="JA86" s="978"/>
      <c r="JB86" s="966"/>
      <c r="JC86" s="966"/>
      <c r="JD86" s="966"/>
      <c r="JE86" s="966"/>
      <c r="JF86" s="966"/>
      <c r="JG86" s="966"/>
      <c r="JH86" s="965"/>
      <c r="JI86" s="966"/>
      <c r="JJ86" s="973"/>
      <c r="JK86" s="966"/>
      <c r="JL86" s="973"/>
      <c r="JM86" s="978"/>
      <c r="JN86" s="978"/>
      <c r="JO86" s="966"/>
      <c r="JP86" s="966"/>
      <c r="JQ86" s="966"/>
      <c r="JR86" s="966"/>
      <c r="JS86" s="966"/>
      <c r="JT86" s="966"/>
      <c r="JU86" s="965"/>
      <c r="JV86" s="966"/>
      <c r="JW86" s="973"/>
      <c r="JX86" s="966"/>
      <c r="JY86" s="973"/>
      <c r="JZ86" s="978"/>
      <c r="KA86" s="978"/>
      <c r="KB86" s="966"/>
      <c r="KC86" s="966"/>
      <c r="KD86" s="966"/>
      <c r="KE86" s="966"/>
      <c r="KF86" s="966"/>
      <c r="KG86" s="966"/>
      <c r="KH86" s="965"/>
      <c r="KI86" s="966"/>
      <c r="KJ86" s="973"/>
      <c r="KK86" s="966"/>
      <c r="KL86" s="973"/>
      <c r="KM86" s="978"/>
      <c r="KN86" s="978"/>
      <c r="KO86" s="966"/>
      <c r="KP86" s="966"/>
      <c r="KQ86" s="966"/>
      <c r="KR86" s="966"/>
      <c r="KS86" s="966"/>
      <c r="KT86" s="966"/>
      <c r="KU86" s="965"/>
      <c r="KV86" s="966"/>
      <c r="KW86" s="973"/>
      <c r="KX86" s="966"/>
      <c r="KY86" s="973"/>
      <c r="KZ86" s="978"/>
      <c r="LA86" s="978"/>
      <c r="LB86" s="966"/>
      <c r="LC86" s="966"/>
      <c r="LD86" s="966"/>
      <c r="LE86" s="966"/>
      <c r="LF86" s="966"/>
      <c r="LG86" s="966"/>
      <c r="LH86" s="965"/>
      <c r="LI86" s="966"/>
      <c r="LJ86" s="973"/>
      <c r="LK86" s="966"/>
      <c r="LL86" s="973"/>
      <c r="LM86" s="978"/>
      <c r="LN86" s="978"/>
      <c r="LO86" s="966"/>
      <c r="LP86" s="966"/>
      <c r="LQ86" s="966"/>
      <c r="LR86" s="966"/>
      <c r="LS86" s="966"/>
      <c r="LT86" s="966"/>
      <c r="LU86" s="965"/>
      <c r="LV86" s="966"/>
      <c r="LW86" s="973"/>
      <c r="LX86" s="966"/>
      <c r="LY86" s="973"/>
      <c r="LZ86" s="978"/>
      <c r="MA86" s="978"/>
      <c r="MB86" s="966"/>
      <c r="MC86" s="966"/>
      <c r="MD86" s="966"/>
      <c r="ME86" s="966"/>
      <c r="MF86" s="966"/>
      <c r="MG86" s="966"/>
    </row>
    <row r="87" spans="1:345">
      <c r="B87" s="196">
        <f>INDEX(Groups!$C$7:$C$65,MATCH(C87,Groups!$D$7:$D$65,0))</f>
        <v>33</v>
      </c>
      <c r="C87" s="197" t="str">
        <f>CalcL!$P$26</f>
        <v>Panama</v>
      </c>
      <c r="D87" s="198">
        <f>INDEX(Groups!$C$7:$C$65,MATCH(E87,Groups!$D$7:$D$65,0))</f>
        <v>4</v>
      </c>
      <c r="E87" s="197" t="str">
        <f>CalcL!$Q$26</f>
        <v>Engeland</v>
      </c>
      <c r="F87" s="199" t="str">
        <f>CalcL!$R$26</f>
        <v/>
      </c>
      <c r="G87" s="200" t="str">
        <f>CalcL!$S$26</f>
        <v/>
      </c>
      <c r="I87" s="196">
        <f t="shared" si="18"/>
        <v>33</v>
      </c>
      <c r="J87" s="197" t="str">
        <f t="shared" si="49"/>
        <v>Panama</v>
      </c>
      <c r="K87" s="198">
        <f t="shared" si="50"/>
        <v>4</v>
      </c>
      <c r="L87" s="197" t="str">
        <f t="shared" si="51"/>
        <v>Engeland</v>
      </c>
      <c r="M87" s="232"/>
      <c r="N87" s="232"/>
      <c r="O87" s="228"/>
      <c r="P87" s="198" t="str">
        <f t="shared" si="52"/>
        <v/>
      </c>
      <c r="Q87" s="198" t="str">
        <f>IF((P87&lt;&gt;""),IF(OR($F87&lt;&gt;$G87,PrSettings!$M$4="●"),(($F87-$G87)=(M87-N87))*1,0),"")</f>
        <v/>
      </c>
      <c r="R87" s="198" t="str">
        <f t="shared" si="53"/>
        <v/>
      </c>
      <c r="S87" s="198" t="str">
        <f>IF(P87&lt;&gt;"",IF(ABS($F87-$G87)&gt;=PrSettings!$M$7,(ABS($F87-$G87-M87+N87)&lt;=1)*1,IF(AND(P87,$F87=$G87,$F87&gt;=PrSettings!$M$6),(ABS(M87-$F87)&lt;=1)*1,IF(AND(P87,$F87+$G87&gt;=PrSettings!$M$8),(ABS(M87-$F87)+ABS(N87-$G87)&lt;=1)*1,""))),"")</f>
        <v/>
      </c>
      <c r="T87" s="989"/>
      <c r="U87" s="965"/>
      <c r="V87" s="966"/>
      <c r="W87" s="973"/>
      <c r="X87" s="966"/>
      <c r="Y87" s="973"/>
      <c r="Z87" s="978"/>
      <c r="AA87" s="978"/>
      <c r="AB87" s="966"/>
      <c r="AC87" s="966"/>
      <c r="AD87" s="966"/>
      <c r="AE87" s="966"/>
      <c r="AF87" s="966"/>
      <c r="AG87" s="966"/>
      <c r="AH87" s="965"/>
      <c r="AI87" s="966"/>
      <c r="AJ87" s="973"/>
      <c r="AK87" s="966"/>
      <c r="AL87" s="973"/>
      <c r="AM87" s="978"/>
      <c r="AN87" s="978"/>
      <c r="AO87" s="966"/>
      <c r="AP87" s="966"/>
      <c r="AQ87" s="966"/>
      <c r="AR87" s="966"/>
      <c r="AS87" s="966"/>
      <c r="AT87" s="966"/>
      <c r="AU87" s="965"/>
      <c r="AV87" s="966"/>
      <c r="AW87" s="973"/>
      <c r="AX87" s="966"/>
      <c r="AY87" s="973"/>
      <c r="AZ87" s="978"/>
      <c r="BA87" s="978"/>
      <c r="BB87" s="966"/>
      <c r="BC87" s="966"/>
      <c r="BD87" s="966"/>
      <c r="BE87" s="966"/>
      <c r="BF87" s="966"/>
      <c r="BG87" s="966"/>
      <c r="BH87" s="965"/>
      <c r="BI87" s="966"/>
      <c r="BJ87" s="973"/>
      <c r="BK87" s="966"/>
      <c r="BL87" s="973"/>
      <c r="BM87" s="978"/>
      <c r="BN87" s="978"/>
      <c r="BO87" s="966"/>
      <c r="BP87" s="966"/>
      <c r="BQ87" s="966"/>
      <c r="BR87" s="966"/>
      <c r="BS87" s="966"/>
      <c r="BT87" s="966"/>
      <c r="BU87" s="965"/>
      <c r="BV87" s="966"/>
      <c r="BW87" s="973"/>
      <c r="BX87" s="966"/>
      <c r="BY87" s="973"/>
      <c r="BZ87" s="978"/>
      <c r="CA87" s="978"/>
      <c r="CB87" s="966"/>
      <c r="CC87" s="966"/>
      <c r="CD87" s="966"/>
      <c r="CE87" s="966"/>
      <c r="CF87" s="966"/>
      <c r="CG87" s="966"/>
      <c r="CH87" s="965"/>
      <c r="CI87" s="966"/>
      <c r="CJ87" s="973"/>
      <c r="CK87" s="966"/>
      <c r="CL87" s="973"/>
      <c r="CM87" s="978"/>
      <c r="CN87" s="978"/>
      <c r="CO87" s="966"/>
      <c r="CP87" s="966"/>
      <c r="CQ87" s="966"/>
      <c r="CR87" s="966"/>
      <c r="CS87" s="966"/>
      <c r="CT87" s="966"/>
      <c r="CU87" s="965"/>
      <c r="CV87" s="966"/>
      <c r="CW87" s="973"/>
      <c r="CX87" s="966"/>
      <c r="CY87" s="973"/>
      <c r="CZ87" s="978"/>
      <c r="DA87" s="978"/>
      <c r="DB87" s="966"/>
      <c r="DC87" s="966"/>
      <c r="DD87" s="966"/>
      <c r="DE87" s="966"/>
      <c r="DF87" s="966"/>
      <c r="DG87" s="966"/>
      <c r="DH87" s="965"/>
      <c r="DI87" s="966"/>
      <c r="DJ87" s="973"/>
      <c r="DK87" s="966"/>
      <c r="DL87" s="973"/>
      <c r="DM87" s="978"/>
      <c r="DN87" s="978"/>
      <c r="DO87" s="966"/>
      <c r="DP87" s="966"/>
      <c r="DQ87" s="966"/>
      <c r="DR87" s="966"/>
      <c r="DS87" s="966"/>
      <c r="DT87" s="966"/>
      <c r="DU87" s="965"/>
      <c r="DV87" s="966"/>
      <c r="DW87" s="973"/>
      <c r="DX87" s="966"/>
      <c r="DY87" s="973"/>
      <c r="DZ87" s="978"/>
      <c r="EA87" s="978"/>
      <c r="EB87" s="966"/>
      <c r="EC87" s="966"/>
      <c r="ED87" s="966"/>
      <c r="EE87" s="966"/>
      <c r="EF87" s="966"/>
      <c r="EG87" s="966"/>
      <c r="EH87" s="965"/>
      <c r="EI87" s="966"/>
      <c r="EJ87" s="973"/>
      <c r="EK87" s="966"/>
      <c r="EL87" s="973"/>
      <c r="EM87" s="978"/>
      <c r="EN87" s="978"/>
      <c r="EO87" s="966"/>
      <c r="EP87" s="966"/>
      <c r="EQ87" s="966"/>
      <c r="ER87" s="966"/>
      <c r="ES87" s="966"/>
      <c r="ET87" s="966"/>
      <c r="EU87" s="965"/>
      <c r="EV87" s="966"/>
      <c r="EW87" s="973"/>
      <c r="EX87" s="966"/>
      <c r="EY87" s="973"/>
      <c r="EZ87" s="978"/>
      <c r="FA87" s="978"/>
      <c r="FB87" s="966"/>
      <c r="FC87" s="966"/>
      <c r="FD87" s="966"/>
      <c r="FE87" s="966"/>
      <c r="FF87" s="966"/>
      <c r="FG87" s="966"/>
      <c r="FH87" s="965"/>
      <c r="FI87" s="966"/>
      <c r="FJ87" s="973"/>
      <c r="FK87" s="966"/>
      <c r="FL87" s="973"/>
      <c r="FM87" s="978"/>
      <c r="FN87" s="978"/>
      <c r="FO87" s="966"/>
      <c r="FP87" s="966"/>
      <c r="FQ87" s="966"/>
      <c r="FR87" s="966"/>
      <c r="FS87" s="966"/>
      <c r="FT87" s="966"/>
      <c r="FU87" s="965"/>
      <c r="FV87" s="966"/>
      <c r="FW87" s="973"/>
      <c r="FX87" s="966"/>
      <c r="FY87" s="973"/>
      <c r="FZ87" s="978"/>
      <c r="GA87" s="978"/>
      <c r="GB87" s="966"/>
      <c r="GC87" s="966"/>
      <c r="GD87" s="966"/>
      <c r="GE87" s="966"/>
      <c r="GF87" s="966"/>
      <c r="GG87" s="966"/>
      <c r="GH87" s="965"/>
      <c r="GI87" s="966"/>
      <c r="GJ87" s="973"/>
      <c r="GK87" s="966"/>
      <c r="GL87" s="973"/>
      <c r="GM87" s="978"/>
      <c r="GN87" s="978"/>
      <c r="GO87" s="966"/>
      <c r="GP87" s="966"/>
      <c r="GQ87" s="966"/>
      <c r="GR87" s="966"/>
      <c r="GS87" s="966"/>
      <c r="GT87" s="966"/>
      <c r="GU87" s="965"/>
      <c r="GV87" s="966"/>
      <c r="GW87" s="973"/>
      <c r="GX87" s="966"/>
      <c r="GY87" s="973"/>
      <c r="GZ87" s="978"/>
      <c r="HA87" s="978"/>
      <c r="HB87" s="966"/>
      <c r="HC87" s="966"/>
      <c r="HD87" s="966"/>
      <c r="HE87" s="966"/>
      <c r="HF87" s="966"/>
      <c r="HG87" s="966"/>
      <c r="HH87" s="965"/>
      <c r="HI87" s="966"/>
      <c r="HJ87" s="973"/>
      <c r="HK87" s="966"/>
      <c r="HL87" s="973"/>
      <c r="HM87" s="978"/>
      <c r="HN87" s="978"/>
      <c r="HO87" s="966"/>
      <c r="HP87" s="966"/>
      <c r="HQ87" s="966"/>
      <c r="HR87" s="966"/>
      <c r="HS87" s="966"/>
      <c r="HT87" s="966"/>
      <c r="HU87" s="965"/>
      <c r="HV87" s="966"/>
      <c r="HW87" s="973"/>
      <c r="HX87" s="966"/>
      <c r="HY87" s="973"/>
      <c r="HZ87" s="978"/>
      <c r="IA87" s="978"/>
      <c r="IB87" s="966"/>
      <c r="IC87" s="966"/>
      <c r="ID87" s="966"/>
      <c r="IE87" s="966"/>
      <c r="IF87" s="966"/>
      <c r="IG87" s="966"/>
      <c r="IH87" s="965"/>
      <c r="II87" s="966"/>
      <c r="IJ87" s="973"/>
      <c r="IK87" s="966"/>
      <c r="IL87" s="973"/>
      <c r="IM87" s="978"/>
      <c r="IN87" s="978"/>
      <c r="IO87" s="966"/>
      <c r="IP87" s="966"/>
      <c r="IQ87" s="966"/>
      <c r="IR87" s="966"/>
      <c r="IS87" s="966"/>
      <c r="IT87" s="966"/>
      <c r="IU87" s="965"/>
      <c r="IV87" s="966"/>
      <c r="IW87" s="973"/>
      <c r="IX87" s="966"/>
      <c r="IY87" s="973"/>
      <c r="IZ87" s="978"/>
      <c r="JA87" s="978"/>
      <c r="JB87" s="966"/>
      <c r="JC87" s="966"/>
      <c r="JD87" s="966"/>
      <c r="JE87" s="966"/>
      <c r="JF87" s="966"/>
      <c r="JG87" s="966"/>
      <c r="JH87" s="965"/>
      <c r="JI87" s="966"/>
      <c r="JJ87" s="973"/>
      <c r="JK87" s="966"/>
      <c r="JL87" s="973"/>
      <c r="JM87" s="978"/>
      <c r="JN87" s="978"/>
      <c r="JO87" s="966"/>
      <c r="JP87" s="966"/>
      <c r="JQ87" s="966"/>
      <c r="JR87" s="966"/>
      <c r="JS87" s="966"/>
      <c r="JT87" s="966"/>
      <c r="JU87" s="965"/>
      <c r="JV87" s="966"/>
      <c r="JW87" s="973"/>
      <c r="JX87" s="966"/>
      <c r="JY87" s="973"/>
      <c r="JZ87" s="978"/>
      <c r="KA87" s="978"/>
      <c r="KB87" s="966"/>
      <c r="KC87" s="966"/>
      <c r="KD87" s="966"/>
      <c r="KE87" s="966"/>
      <c r="KF87" s="966"/>
      <c r="KG87" s="966"/>
      <c r="KH87" s="965"/>
      <c r="KI87" s="966"/>
      <c r="KJ87" s="973"/>
      <c r="KK87" s="966"/>
      <c r="KL87" s="973"/>
      <c r="KM87" s="978"/>
      <c r="KN87" s="978"/>
      <c r="KO87" s="966"/>
      <c r="KP87" s="966"/>
      <c r="KQ87" s="966"/>
      <c r="KR87" s="966"/>
      <c r="KS87" s="966"/>
      <c r="KT87" s="966"/>
      <c r="KU87" s="965"/>
      <c r="KV87" s="966"/>
      <c r="KW87" s="973"/>
      <c r="KX87" s="966"/>
      <c r="KY87" s="973"/>
      <c r="KZ87" s="978"/>
      <c r="LA87" s="978"/>
      <c r="LB87" s="966"/>
      <c r="LC87" s="966"/>
      <c r="LD87" s="966"/>
      <c r="LE87" s="966"/>
      <c r="LF87" s="966"/>
      <c r="LG87" s="966"/>
      <c r="LH87" s="965"/>
      <c r="LI87" s="966"/>
      <c r="LJ87" s="973"/>
      <c r="LK87" s="966"/>
      <c r="LL87" s="973"/>
      <c r="LM87" s="978"/>
      <c r="LN87" s="978"/>
      <c r="LO87" s="966"/>
      <c r="LP87" s="966"/>
      <c r="LQ87" s="966"/>
      <c r="LR87" s="966"/>
      <c r="LS87" s="966"/>
      <c r="LT87" s="966"/>
      <c r="LU87" s="965"/>
      <c r="LV87" s="966"/>
      <c r="LW87" s="973"/>
      <c r="LX87" s="966"/>
      <c r="LY87" s="973"/>
      <c r="LZ87" s="978"/>
      <c r="MA87" s="978"/>
      <c r="MB87" s="966"/>
      <c r="MC87" s="966"/>
      <c r="MD87" s="966"/>
      <c r="ME87" s="966"/>
      <c r="MF87" s="966"/>
      <c r="MG87" s="966"/>
    </row>
    <row r="88" spans="1:345">
      <c r="B88" s="196">
        <f>INDEX(Groups!$C$7:$C$65,MATCH(C88,Groups!$D$7:$D$65,0))</f>
        <v>11</v>
      </c>
      <c r="C88" s="197" t="str">
        <f>CalcL!$P$27</f>
        <v>Kroatië</v>
      </c>
      <c r="D88" s="198">
        <f>INDEX(Groups!$C$7:$C$65,MATCH(E88,Groups!$D$7:$D$65,0))</f>
        <v>74</v>
      </c>
      <c r="E88" s="197" t="str">
        <f>CalcL!$Q$27</f>
        <v>Ghana</v>
      </c>
      <c r="F88" s="199" t="str">
        <f>CalcL!$R$27</f>
        <v/>
      </c>
      <c r="G88" s="200" t="str">
        <f>CalcL!$S$27</f>
        <v/>
      </c>
      <c r="I88" s="196">
        <f t="shared" si="18"/>
        <v>11</v>
      </c>
      <c r="J88" s="197" t="str">
        <f t="shared" si="49"/>
        <v>Kroatië</v>
      </c>
      <c r="K88" s="198">
        <f t="shared" si="50"/>
        <v>74</v>
      </c>
      <c r="L88" s="197" t="str">
        <f t="shared" si="51"/>
        <v>Ghana</v>
      </c>
      <c r="M88" s="232"/>
      <c r="N88" s="232"/>
      <c r="O88" s="473"/>
      <c r="P88" s="198" t="str">
        <f t="shared" si="52"/>
        <v/>
      </c>
      <c r="Q88" s="198" t="str">
        <f>IF((P88&lt;&gt;""),IF(OR($F88&lt;&gt;$G88,PrSettings!$M$4="●"),(($F88-$G88)=(M88-N88))*1,0),"")</f>
        <v/>
      </c>
      <c r="R88" s="198" t="str">
        <f t="shared" si="53"/>
        <v/>
      </c>
      <c r="S88" s="198" t="str">
        <f>IF(P88&lt;&gt;"",IF(ABS($F88-$G88)&gt;=PrSettings!$M$7,(ABS($F88-$G88-M88+N88)&lt;=1)*1,IF(AND(P88,$F88=$G88,$F88&gt;=PrSettings!$M$6),(ABS(M88-$F88)&lt;=1)*1,IF(AND(P88,$F88+$G88&gt;=PrSettings!$M$8),(ABS(M88-$F88)+ABS(N88-$G88)&lt;=1)*1,""))),"")</f>
        <v/>
      </c>
      <c r="T88" s="990"/>
      <c r="U88" s="965"/>
      <c r="V88" s="966"/>
      <c r="W88" s="973"/>
      <c r="X88" s="966"/>
      <c r="Y88" s="973"/>
      <c r="Z88" s="978"/>
      <c r="AA88" s="978"/>
      <c r="AB88" s="966"/>
      <c r="AC88" s="966"/>
      <c r="AD88" s="966"/>
      <c r="AE88" s="966"/>
      <c r="AF88" s="966"/>
      <c r="AG88" s="966"/>
      <c r="AH88" s="965"/>
      <c r="AI88" s="966"/>
      <c r="AJ88" s="973"/>
      <c r="AK88" s="966"/>
      <c r="AL88" s="973"/>
      <c r="AM88" s="978"/>
      <c r="AN88" s="978"/>
      <c r="AO88" s="966"/>
      <c r="AP88" s="966"/>
      <c r="AQ88" s="966"/>
      <c r="AR88" s="966"/>
      <c r="AS88" s="966"/>
      <c r="AT88" s="966"/>
      <c r="AU88" s="965"/>
      <c r="AV88" s="966"/>
      <c r="AW88" s="973"/>
      <c r="AX88" s="966"/>
      <c r="AY88" s="973"/>
      <c r="AZ88" s="978"/>
      <c r="BA88" s="978"/>
      <c r="BB88" s="966"/>
      <c r="BC88" s="966"/>
      <c r="BD88" s="966"/>
      <c r="BE88" s="966"/>
      <c r="BF88" s="966"/>
      <c r="BG88" s="966"/>
      <c r="BH88" s="965"/>
      <c r="BI88" s="966"/>
      <c r="BJ88" s="973"/>
      <c r="BK88" s="966"/>
      <c r="BL88" s="973"/>
      <c r="BM88" s="978"/>
      <c r="BN88" s="978"/>
      <c r="BO88" s="966"/>
      <c r="BP88" s="966"/>
      <c r="BQ88" s="966"/>
      <c r="BR88" s="966"/>
      <c r="BS88" s="966"/>
      <c r="BT88" s="966"/>
      <c r="BU88" s="965"/>
      <c r="BV88" s="966"/>
      <c r="BW88" s="973"/>
      <c r="BX88" s="966"/>
      <c r="BY88" s="973"/>
      <c r="BZ88" s="978"/>
      <c r="CA88" s="978"/>
      <c r="CB88" s="966"/>
      <c r="CC88" s="966"/>
      <c r="CD88" s="966"/>
      <c r="CE88" s="966"/>
      <c r="CF88" s="966"/>
      <c r="CG88" s="966"/>
      <c r="CH88" s="965"/>
      <c r="CI88" s="966"/>
      <c r="CJ88" s="973"/>
      <c r="CK88" s="966"/>
      <c r="CL88" s="973"/>
      <c r="CM88" s="978"/>
      <c r="CN88" s="978"/>
      <c r="CO88" s="966"/>
      <c r="CP88" s="966"/>
      <c r="CQ88" s="966"/>
      <c r="CR88" s="966"/>
      <c r="CS88" s="966"/>
      <c r="CT88" s="966"/>
      <c r="CU88" s="965"/>
      <c r="CV88" s="966"/>
      <c r="CW88" s="973"/>
      <c r="CX88" s="966"/>
      <c r="CY88" s="973"/>
      <c r="CZ88" s="978"/>
      <c r="DA88" s="978"/>
      <c r="DB88" s="966"/>
      <c r="DC88" s="966"/>
      <c r="DD88" s="966"/>
      <c r="DE88" s="966"/>
      <c r="DF88" s="966"/>
      <c r="DG88" s="966"/>
      <c r="DH88" s="965"/>
      <c r="DI88" s="966"/>
      <c r="DJ88" s="973"/>
      <c r="DK88" s="966"/>
      <c r="DL88" s="973"/>
      <c r="DM88" s="978"/>
      <c r="DN88" s="978"/>
      <c r="DO88" s="966"/>
      <c r="DP88" s="966"/>
      <c r="DQ88" s="966"/>
      <c r="DR88" s="966"/>
      <c r="DS88" s="966"/>
      <c r="DT88" s="966"/>
      <c r="DU88" s="965"/>
      <c r="DV88" s="966"/>
      <c r="DW88" s="973"/>
      <c r="DX88" s="966"/>
      <c r="DY88" s="973"/>
      <c r="DZ88" s="978"/>
      <c r="EA88" s="978"/>
      <c r="EB88" s="966"/>
      <c r="EC88" s="966"/>
      <c r="ED88" s="966"/>
      <c r="EE88" s="966"/>
      <c r="EF88" s="966"/>
      <c r="EG88" s="966"/>
      <c r="EH88" s="965"/>
      <c r="EI88" s="966"/>
      <c r="EJ88" s="973"/>
      <c r="EK88" s="966"/>
      <c r="EL88" s="973"/>
      <c r="EM88" s="978"/>
      <c r="EN88" s="978"/>
      <c r="EO88" s="966"/>
      <c r="EP88" s="966"/>
      <c r="EQ88" s="966"/>
      <c r="ER88" s="966"/>
      <c r="ES88" s="966"/>
      <c r="ET88" s="966"/>
      <c r="EU88" s="965"/>
      <c r="EV88" s="966"/>
      <c r="EW88" s="973"/>
      <c r="EX88" s="966"/>
      <c r="EY88" s="973"/>
      <c r="EZ88" s="978"/>
      <c r="FA88" s="978"/>
      <c r="FB88" s="966"/>
      <c r="FC88" s="966"/>
      <c r="FD88" s="966"/>
      <c r="FE88" s="966"/>
      <c r="FF88" s="966"/>
      <c r="FG88" s="966"/>
      <c r="FH88" s="965"/>
      <c r="FI88" s="966"/>
      <c r="FJ88" s="973"/>
      <c r="FK88" s="966"/>
      <c r="FL88" s="973"/>
      <c r="FM88" s="978"/>
      <c r="FN88" s="978"/>
      <c r="FO88" s="966"/>
      <c r="FP88" s="966"/>
      <c r="FQ88" s="966"/>
      <c r="FR88" s="966"/>
      <c r="FS88" s="966"/>
      <c r="FT88" s="966"/>
      <c r="FU88" s="965"/>
      <c r="FV88" s="966"/>
      <c r="FW88" s="973"/>
      <c r="FX88" s="966"/>
      <c r="FY88" s="973"/>
      <c r="FZ88" s="978"/>
      <c r="GA88" s="978"/>
      <c r="GB88" s="966"/>
      <c r="GC88" s="966"/>
      <c r="GD88" s="966"/>
      <c r="GE88" s="966"/>
      <c r="GF88" s="966"/>
      <c r="GG88" s="966"/>
      <c r="GH88" s="965"/>
      <c r="GI88" s="966"/>
      <c r="GJ88" s="973"/>
      <c r="GK88" s="966"/>
      <c r="GL88" s="973"/>
      <c r="GM88" s="978"/>
      <c r="GN88" s="978"/>
      <c r="GO88" s="966"/>
      <c r="GP88" s="966"/>
      <c r="GQ88" s="966"/>
      <c r="GR88" s="966"/>
      <c r="GS88" s="966"/>
      <c r="GT88" s="966"/>
      <c r="GU88" s="965"/>
      <c r="GV88" s="966"/>
      <c r="GW88" s="973"/>
      <c r="GX88" s="966"/>
      <c r="GY88" s="973"/>
      <c r="GZ88" s="978"/>
      <c r="HA88" s="978"/>
      <c r="HB88" s="966"/>
      <c r="HC88" s="966"/>
      <c r="HD88" s="966"/>
      <c r="HE88" s="966"/>
      <c r="HF88" s="966"/>
      <c r="HG88" s="966"/>
      <c r="HH88" s="965"/>
      <c r="HI88" s="966"/>
      <c r="HJ88" s="973"/>
      <c r="HK88" s="966"/>
      <c r="HL88" s="973"/>
      <c r="HM88" s="978"/>
      <c r="HN88" s="978"/>
      <c r="HO88" s="966"/>
      <c r="HP88" s="966"/>
      <c r="HQ88" s="966"/>
      <c r="HR88" s="966"/>
      <c r="HS88" s="966"/>
      <c r="HT88" s="966"/>
      <c r="HU88" s="965"/>
      <c r="HV88" s="966"/>
      <c r="HW88" s="973"/>
      <c r="HX88" s="966"/>
      <c r="HY88" s="973"/>
      <c r="HZ88" s="978"/>
      <c r="IA88" s="978"/>
      <c r="IB88" s="966"/>
      <c r="IC88" s="966"/>
      <c r="ID88" s="966"/>
      <c r="IE88" s="966"/>
      <c r="IF88" s="966"/>
      <c r="IG88" s="966"/>
      <c r="IH88" s="965"/>
      <c r="II88" s="966"/>
      <c r="IJ88" s="973"/>
      <c r="IK88" s="966"/>
      <c r="IL88" s="973"/>
      <c r="IM88" s="978"/>
      <c r="IN88" s="978"/>
      <c r="IO88" s="966"/>
      <c r="IP88" s="966"/>
      <c r="IQ88" s="966"/>
      <c r="IR88" s="966"/>
      <c r="IS88" s="966"/>
      <c r="IT88" s="966"/>
      <c r="IU88" s="965"/>
      <c r="IV88" s="966"/>
      <c r="IW88" s="973"/>
      <c r="IX88" s="966"/>
      <c r="IY88" s="973"/>
      <c r="IZ88" s="978"/>
      <c r="JA88" s="978"/>
      <c r="JB88" s="966"/>
      <c r="JC88" s="966"/>
      <c r="JD88" s="966"/>
      <c r="JE88" s="966"/>
      <c r="JF88" s="966"/>
      <c r="JG88" s="966"/>
      <c r="JH88" s="965"/>
      <c r="JI88" s="966"/>
      <c r="JJ88" s="973"/>
      <c r="JK88" s="966"/>
      <c r="JL88" s="973"/>
      <c r="JM88" s="978"/>
      <c r="JN88" s="978"/>
      <c r="JO88" s="966"/>
      <c r="JP88" s="966"/>
      <c r="JQ88" s="966"/>
      <c r="JR88" s="966"/>
      <c r="JS88" s="966"/>
      <c r="JT88" s="966"/>
      <c r="JU88" s="965"/>
      <c r="JV88" s="966"/>
      <c r="JW88" s="973"/>
      <c r="JX88" s="966"/>
      <c r="JY88" s="973"/>
      <c r="JZ88" s="978"/>
      <c r="KA88" s="978"/>
      <c r="KB88" s="966"/>
      <c r="KC88" s="966"/>
      <c r="KD88" s="966"/>
      <c r="KE88" s="966"/>
      <c r="KF88" s="966"/>
      <c r="KG88" s="966"/>
      <c r="KH88" s="965"/>
      <c r="KI88" s="966"/>
      <c r="KJ88" s="973"/>
      <c r="KK88" s="966"/>
      <c r="KL88" s="973"/>
      <c r="KM88" s="978"/>
      <c r="KN88" s="978"/>
      <c r="KO88" s="966"/>
      <c r="KP88" s="966"/>
      <c r="KQ88" s="966"/>
      <c r="KR88" s="966"/>
      <c r="KS88" s="966"/>
      <c r="KT88" s="966"/>
      <c r="KU88" s="965"/>
      <c r="KV88" s="966"/>
      <c r="KW88" s="973"/>
      <c r="KX88" s="966"/>
      <c r="KY88" s="973"/>
      <c r="KZ88" s="978"/>
      <c r="LA88" s="978"/>
      <c r="LB88" s="966"/>
      <c r="LC88" s="966"/>
      <c r="LD88" s="966"/>
      <c r="LE88" s="966"/>
      <c r="LF88" s="966"/>
      <c r="LG88" s="966"/>
      <c r="LH88" s="965"/>
      <c r="LI88" s="966"/>
      <c r="LJ88" s="973"/>
      <c r="LK88" s="966"/>
      <c r="LL88" s="973"/>
      <c r="LM88" s="978"/>
      <c r="LN88" s="978"/>
      <c r="LO88" s="966"/>
      <c r="LP88" s="966"/>
      <c r="LQ88" s="966"/>
      <c r="LR88" s="966"/>
      <c r="LS88" s="966"/>
      <c r="LT88" s="966"/>
      <c r="LU88" s="965"/>
      <c r="LV88" s="966"/>
      <c r="LW88" s="973"/>
      <c r="LX88" s="966"/>
      <c r="LY88" s="973"/>
      <c r="LZ88" s="978"/>
      <c r="MA88" s="978"/>
      <c r="MB88" s="966"/>
      <c r="MC88" s="966"/>
      <c r="MD88" s="966"/>
      <c r="ME88" s="966"/>
      <c r="MF88" s="966"/>
      <c r="MG88" s="966"/>
    </row>
    <row r="89" spans="1:345" s="22" customFormat="1" ht="24" customHeight="1">
      <c r="A89" s="193"/>
      <c r="B89" s="205" t="str">
        <f>Language!$E$214</f>
        <v>Zestiende finale</v>
      </c>
      <c r="C89" s="211"/>
      <c r="D89" s="211"/>
      <c r="E89" s="208"/>
      <c r="F89" s="212"/>
      <c r="G89" s="213"/>
      <c r="I89" s="205" t="str">
        <f t="shared" ref="I89:I106" si="54">$B89</f>
        <v>Zestiende finale</v>
      </c>
      <c r="J89" s="207"/>
      <c r="K89" s="207"/>
      <c r="L89" s="208"/>
      <c r="M89" s="236"/>
      <c r="N89" s="237"/>
      <c r="O89" s="209"/>
      <c r="P89" s="220"/>
      <c r="Q89" s="208"/>
      <c r="R89" s="208"/>
      <c r="S89" s="208"/>
      <c r="T89" s="987"/>
      <c r="U89" s="966"/>
      <c r="V89" s="972"/>
      <c r="W89" s="972"/>
      <c r="X89" s="972"/>
      <c r="Y89" s="973"/>
      <c r="Z89" s="974"/>
      <c r="AA89" s="975"/>
      <c r="AB89" s="976"/>
      <c r="AC89" s="977"/>
      <c r="AD89" s="973"/>
      <c r="AE89" s="973"/>
      <c r="AF89" s="973"/>
      <c r="AG89" s="973"/>
      <c r="AH89" s="966"/>
      <c r="AI89" s="972"/>
      <c r="AJ89" s="972"/>
      <c r="AK89" s="972"/>
      <c r="AL89" s="973"/>
      <c r="AM89" s="974"/>
      <c r="AN89" s="975"/>
      <c r="AO89" s="976"/>
      <c r="AP89" s="977"/>
      <c r="AQ89" s="973"/>
      <c r="AR89" s="973"/>
      <c r="AS89" s="973"/>
      <c r="AT89" s="973"/>
      <c r="AU89" s="966"/>
      <c r="AV89" s="972"/>
      <c r="AW89" s="972"/>
      <c r="AX89" s="972"/>
      <c r="AY89" s="973"/>
      <c r="AZ89" s="974"/>
      <c r="BA89" s="975"/>
      <c r="BB89" s="976"/>
      <c r="BC89" s="977"/>
      <c r="BD89" s="973"/>
      <c r="BE89" s="973"/>
      <c r="BF89" s="973"/>
      <c r="BG89" s="973"/>
      <c r="BH89" s="966"/>
      <c r="BI89" s="972"/>
      <c r="BJ89" s="972"/>
      <c r="BK89" s="972"/>
      <c r="BL89" s="973"/>
      <c r="BM89" s="974"/>
      <c r="BN89" s="975"/>
      <c r="BO89" s="976"/>
      <c r="BP89" s="977"/>
      <c r="BQ89" s="973"/>
      <c r="BR89" s="973"/>
      <c r="BS89" s="973"/>
      <c r="BT89" s="973"/>
      <c r="BU89" s="966"/>
      <c r="BV89" s="972"/>
      <c r="BW89" s="972"/>
      <c r="BX89" s="972"/>
      <c r="BY89" s="973"/>
      <c r="BZ89" s="974"/>
      <c r="CA89" s="975"/>
      <c r="CB89" s="976"/>
      <c r="CC89" s="977"/>
      <c r="CD89" s="973"/>
      <c r="CE89" s="973"/>
      <c r="CF89" s="973"/>
      <c r="CG89" s="973"/>
      <c r="CH89" s="966"/>
      <c r="CI89" s="972"/>
      <c r="CJ89" s="972"/>
      <c r="CK89" s="972"/>
      <c r="CL89" s="973"/>
      <c r="CM89" s="974"/>
      <c r="CN89" s="975"/>
      <c r="CO89" s="976"/>
      <c r="CP89" s="977"/>
      <c r="CQ89" s="973"/>
      <c r="CR89" s="973"/>
      <c r="CS89" s="973"/>
      <c r="CT89" s="973"/>
      <c r="CU89" s="966"/>
      <c r="CV89" s="972"/>
      <c r="CW89" s="972"/>
      <c r="CX89" s="972"/>
      <c r="CY89" s="973"/>
      <c r="CZ89" s="974"/>
      <c r="DA89" s="975"/>
      <c r="DB89" s="976"/>
      <c r="DC89" s="977"/>
      <c r="DD89" s="973"/>
      <c r="DE89" s="973"/>
      <c r="DF89" s="973"/>
      <c r="DG89" s="973"/>
      <c r="DH89" s="966"/>
      <c r="DI89" s="972"/>
      <c r="DJ89" s="972"/>
      <c r="DK89" s="972"/>
      <c r="DL89" s="973"/>
      <c r="DM89" s="974"/>
      <c r="DN89" s="975"/>
      <c r="DO89" s="976"/>
      <c r="DP89" s="977"/>
      <c r="DQ89" s="973"/>
      <c r="DR89" s="973"/>
      <c r="DS89" s="973"/>
      <c r="DT89" s="973"/>
      <c r="DU89" s="966"/>
      <c r="DV89" s="972"/>
      <c r="DW89" s="972"/>
      <c r="DX89" s="972"/>
      <c r="DY89" s="973"/>
      <c r="DZ89" s="974"/>
      <c r="EA89" s="975"/>
      <c r="EB89" s="976"/>
      <c r="EC89" s="977"/>
      <c r="ED89" s="973"/>
      <c r="EE89" s="973"/>
      <c r="EF89" s="973"/>
      <c r="EG89" s="973"/>
      <c r="EH89" s="966"/>
      <c r="EI89" s="972"/>
      <c r="EJ89" s="972"/>
      <c r="EK89" s="972"/>
      <c r="EL89" s="973"/>
      <c r="EM89" s="974"/>
      <c r="EN89" s="975"/>
      <c r="EO89" s="976"/>
      <c r="EP89" s="977"/>
      <c r="EQ89" s="973"/>
      <c r="ER89" s="973"/>
      <c r="ES89" s="973"/>
      <c r="ET89" s="973"/>
      <c r="EU89" s="966"/>
      <c r="EV89" s="972"/>
      <c r="EW89" s="972"/>
      <c r="EX89" s="972"/>
      <c r="EY89" s="973"/>
      <c r="EZ89" s="974"/>
      <c r="FA89" s="975"/>
      <c r="FB89" s="976"/>
      <c r="FC89" s="977"/>
      <c r="FD89" s="973"/>
      <c r="FE89" s="973"/>
      <c r="FF89" s="973"/>
      <c r="FG89" s="973"/>
      <c r="FH89" s="966"/>
      <c r="FI89" s="972"/>
      <c r="FJ89" s="972"/>
      <c r="FK89" s="972"/>
      <c r="FL89" s="973"/>
      <c r="FM89" s="974"/>
      <c r="FN89" s="975"/>
      <c r="FO89" s="976"/>
      <c r="FP89" s="977"/>
      <c r="FQ89" s="973"/>
      <c r="FR89" s="973"/>
      <c r="FS89" s="973"/>
      <c r="FT89" s="973"/>
      <c r="FU89" s="966"/>
      <c r="FV89" s="972"/>
      <c r="FW89" s="972"/>
      <c r="FX89" s="972"/>
      <c r="FY89" s="973"/>
      <c r="FZ89" s="974"/>
      <c r="GA89" s="975"/>
      <c r="GB89" s="976"/>
      <c r="GC89" s="977"/>
      <c r="GD89" s="973"/>
      <c r="GE89" s="973"/>
      <c r="GF89" s="973"/>
      <c r="GG89" s="973"/>
      <c r="GH89" s="966"/>
      <c r="GI89" s="972"/>
      <c r="GJ89" s="972"/>
      <c r="GK89" s="972"/>
      <c r="GL89" s="973"/>
      <c r="GM89" s="974"/>
      <c r="GN89" s="975"/>
      <c r="GO89" s="976"/>
      <c r="GP89" s="977"/>
      <c r="GQ89" s="973"/>
      <c r="GR89" s="973"/>
      <c r="GS89" s="973"/>
      <c r="GT89" s="973"/>
      <c r="GU89" s="966"/>
      <c r="GV89" s="972"/>
      <c r="GW89" s="972"/>
      <c r="GX89" s="972"/>
      <c r="GY89" s="973"/>
      <c r="GZ89" s="974"/>
      <c r="HA89" s="975"/>
      <c r="HB89" s="976"/>
      <c r="HC89" s="977"/>
      <c r="HD89" s="973"/>
      <c r="HE89" s="973"/>
      <c r="HF89" s="973"/>
      <c r="HG89" s="973"/>
      <c r="HH89" s="966"/>
      <c r="HI89" s="972"/>
      <c r="HJ89" s="972"/>
      <c r="HK89" s="972"/>
      <c r="HL89" s="973"/>
      <c r="HM89" s="974"/>
      <c r="HN89" s="975"/>
      <c r="HO89" s="976"/>
      <c r="HP89" s="977"/>
      <c r="HQ89" s="973"/>
      <c r="HR89" s="973"/>
      <c r="HS89" s="973"/>
      <c r="HT89" s="973"/>
      <c r="HU89" s="966"/>
      <c r="HV89" s="972"/>
      <c r="HW89" s="972"/>
      <c r="HX89" s="972"/>
      <c r="HY89" s="973"/>
      <c r="HZ89" s="974"/>
      <c r="IA89" s="975"/>
      <c r="IB89" s="976"/>
      <c r="IC89" s="977"/>
      <c r="ID89" s="973"/>
      <c r="IE89" s="973"/>
      <c r="IF89" s="973"/>
      <c r="IG89" s="973"/>
      <c r="IH89" s="966"/>
      <c r="II89" s="972"/>
      <c r="IJ89" s="972"/>
      <c r="IK89" s="972"/>
      <c r="IL89" s="973"/>
      <c r="IM89" s="974"/>
      <c r="IN89" s="975"/>
      <c r="IO89" s="976"/>
      <c r="IP89" s="977"/>
      <c r="IQ89" s="973"/>
      <c r="IR89" s="973"/>
      <c r="IS89" s="973"/>
      <c r="IT89" s="973"/>
      <c r="IU89" s="966"/>
      <c r="IV89" s="972"/>
      <c r="IW89" s="972"/>
      <c r="IX89" s="972"/>
      <c r="IY89" s="973"/>
      <c r="IZ89" s="974"/>
      <c r="JA89" s="975"/>
      <c r="JB89" s="976"/>
      <c r="JC89" s="977"/>
      <c r="JD89" s="973"/>
      <c r="JE89" s="973"/>
      <c r="JF89" s="973"/>
      <c r="JG89" s="973"/>
      <c r="JH89" s="966"/>
      <c r="JI89" s="972"/>
      <c r="JJ89" s="972"/>
      <c r="JK89" s="972"/>
      <c r="JL89" s="973"/>
      <c r="JM89" s="974"/>
      <c r="JN89" s="975"/>
      <c r="JO89" s="976"/>
      <c r="JP89" s="977"/>
      <c r="JQ89" s="973"/>
      <c r="JR89" s="973"/>
      <c r="JS89" s="973"/>
      <c r="JT89" s="973"/>
      <c r="JU89" s="966"/>
      <c r="JV89" s="972"/>
      <c r="JW89" s="972"/>
      <c r="JX89" s="972"/>
      <c r="JY89" s="973"/>
      <c r="JZ89" s="974"/>
      <c r="KA89" s="975"/>
      <c r="KB89" s="976"/>
      <c r="KC89" s="977"/>
      <c r="KD89" s="973"/>
      <c r="KE89" s="973"/>
      <c r="KF89" s="973"/>
      <c r="KG89" s="973"/>
      <c r="KH89" s="966"/>
      <c r="KI89" s="972"/>
      <c r="KJ89" s="972"/>
      <c r="KK89" s="972"/>
      <c r="KL89" s="973"/>
      <c r="KM89" s="974"/>
      <c r="KN89" s="975"/>
      <c r="KO89" s="976"/>
      <c r="KP89" s="977"/>
      <c r="KQ89" s="973"/>
      <c r="KR89" s="973"/>
      <c r="KS89" s="973"/>
      <c r="KT89" s="973"/>
      <c r="KU89" s="966"/>
      <c r="KV89" s="972"/>
      <c r="KW89" s="972"/>
      <c r="KX89" s="972"/>
      <c r="KY89" s="973"/>
      <c r="KZ89" s="974"/>
      <c r="LA89" s="975"/>
      <c r="LB89" s="976"/>
      <c r="LC89" s="977"/>
      <c r="LD89" s="973"/>
      <c r="LE89" s="973"/>
      <c r="LF89" s="973"/>
      <c r="LG89" s="973"/>
      <c r="LH89" s="966"/>
      <c r="LI89" s="972"/>
      <c r="LJ89" s="972"/>
      <c r="LK89" s="972"/>
      <c r="LL89" s="973"/>
      <c r="LM89" s="974"/>
      <c r="LN89" s="975"/>
      <c r="LO89" s="976"/>
      <c r="LP89" s="977"/>
      <c r="LQ89" s="973"/>
      <c r="LR89" s="973"/>
      <c r="LS89" s="973"/>
      <c r="LT89" s="973"/>
      <c r="LU89" s="966"/>
      <c r="LV89" s="972"/>
      <c r="LW89" s="972"/>
      <c r="LX89" s="972"/>
      <c r="LY89" s="973"/>
      <c r="LZ89" s="974"/>
      <c r="MA89" s="975"/>
      <c r="MB89" s="976"/>
      <c r="MC89" s="977"/>
      <c r="MD89" s="973"/>
      <c r="ME89" s="973"/>
      <c r="MF89" s="973"/>
      <c r="MG89" s="973"/>
    </row>
    <row r="90" spans="1:345" s="22" customFormat="1">
      <c r="A90" s="193"/>
      <c r="B90" s="196" t="str">
        <f>IF(C90="","",INDEX(Groups!$C$7:$C$65,MATCH(C90,Groups!$D$7:$D$65,0)))</f>
        <v/>
      </c>
      <c r="C90" s="197" t="str">
        <f>'World Cup'!$B$50</f>
        <v/>
      </c>
      <c r="D90" s="198" t="str">
        <f>IF(E90="","",INDEX(Groups!$C$7:$C$65,MATCH(E90,Groups!$D$7:$D$65,0)))</f>
        <v/>
      </c>
      <c r="E90" s="197" t="str">
        <f>'World Cup'!$C$50</f>
        <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4"/>
      <c r="N90" s="265"/>
      <c r="O90" s="250"/>
      <c r="P90" s="250"/>
      <c r="Q90" s="251">
        <f>COUNTIF(I$90:I$105,I90)+COUNTIF(K$90:K$105,I90)</f>
        <v>0</v>
      </c>
      <c r="R90" s="251">
        <f>COUNTIF(I$90:I$105,K90)+COUNTIF(K$90:K$105,K90)</f>
        <v>0</v>
      </c>
      <c r="S90" s="251"/>
      <c r="T90" s="991" t="str">
        <f>IF(OR(I90&lt;&gt;"",K90&lt;&gt;""),IF(Q90&lt;&gt;1,0,COUNTIF($B$90:$B$105,I90)+COUNTIF($D$90:$D$105,I90))+IF(R90&lt;&gt;1,0,COUNTIF($B$90:$B$105,K90)+COUNTIF($D$90:$D$105,K90)),"")</f>
        <v/>
      </c>
      <c r="U90" s="966"/>
      <c r="V90" s="978"/>
      <c r="W90" s="973"/>
      <c r="X90" s="978"/>
      <c r="Y90" s="973"/>
      <c r="Z90" s="979"/>
      <c r="AA90" s="979"/>
      <c r="AB90" s="966"/>
      <c r="AC90" s="966"/>
      <c r="AD90" s="980"/>
      <c r="AE90" s="980"/>
      <c r="AF90" s="980"/>
      <c r="AG90" s="966"/>
      <c r="AH90" s="966"/>
      <c r="AI90" s="978"/>
      <c r="AJ90" s="973"/>
      <c r="AK90" s="978"/>
      <c r="AL90" s="973"/>
      <c r="AM90" s="979"/>
      <c r="AN90" s="979"/>
      <c r="AO90" s="966"/>
      <c r="AP90" s="966"/>
      <c r="AQ90" s="980"/>
      <c r="AR90" s="980"/>
      <c r="AS90" s="980"/>
      <c r="AT90" s="966"/>
      <c r="AU90" s="966"/>
      <c r="AV90" s="978"/>
      <c r="AW90" s="973"/>
      <c r="AX90" s="978"/>
      <c r="AY90" s="973"/>
      <c r="AZ90" s="979"/>
      <c r="BA90" s="979"/>
      <c r="BB90" s="966"/>
      <c r="BC90" s="966"/>
      <c r="BD90" s="980"/>
      <c r="BE90" s="980"/>
      <c r="BF90" s="980"/>
      <c r="BG90" s="966"/>
      <c r="BH90" s="966"/>
      <c r="BI90" s="978"/>
      <c r="BJ90" s="973"/>
      <c r="BK90" s="978"/>
      <c r="BL90" s="973"/>
      <c r="BM90" s="979"/>
      <c r="BN90" s="979"/>
      <c r="BO90" s="966"/>
      <c r="BP90" s="966"/>
      <c r="BQ90" s="980"/>
      <c r="BR90" s="980"/>
      <c r="BS90" s="980"/>
      <c r="BT90" s="966"/>
      <c r="BU90" s="966"/>
      <c r="BV90" s="978"/>
      <c r="BW90" s="973"/>
      <c r="BX90" s="978"/>
      <c r="BY90" s="973"/>
      <c r="BZ90" s="979"/>
      <c r="CA90" s="979"/>
      <c r="CB90" s="966"/>
      <c r="CC90" s="966"/>
      <c r="CD90" s="980"/>
      <c r="CE90" s="980"/>
      <c r="CF90" s="980"/>
      <c r="CG90" s="966"/>
      <c r="CH90" s="966"/>
      <c r="CI90" s="978"/>
      <c r="CJ90" s="973"/>
      <c r="CK90" s="978"/>
      <c r="CL90" s="973"/>
      <c r="CM90" s="979"/>
      <c r="CN90" s="979"/>
      <c r="CO90" s="966"/>
      <c r="CP90" s="966"/>
      <c r="CQ90" s="980"/>
      <c r="CR90" s="980"/>
      <c r="CS90" s="980"/>
      <c r="CT90" s="966"/>
      <c r="CU90" s="966"/>
      <c r="CV90" s="978"/>
      <c r="CW90" s="973"/>
      <c r="CX90" s="978"/>
      <c r="CY90" s="973"/>
      <c r="CZ90" s="979"/>
      <c r="DA90" s="979"/>
      <c r="DB90" s="966"/>
      <c r="DC90" s="966"/>
      <c r="DD90" s="980"/>
      <c r="DE90" s="980"/>
      <c r="DF90" s="980"/>
      <c r="DG90" s="966"/>
      <c r="DH90" s="966"/>
      <c r="DI90" s="978"/>
      <c r="DJ90" s="973"/>
      <c r="DK90" s="978"/>
      <c r="DL90" s="973"/>
      <c r="DM90" s="979"/>
      <c r="DN90" s="979"/>
      <c r="DO90" s="966"/>
      <c r="DP90" s="966"/>
      <c r="DQ90" s="980"/>
      <c r="DR90" s="980"/>
      <c r="DS90" s="980"/>
      <c r="DT90" s="966"/>
      <c r="DU90" s="966"/>
      <c r="DV90" s="978"/>
      <c r="DW90" s="973"/>
      <c r="DX90" s="978"/>
      <c r="DY90" s="973"/>
      <c r="DZ90" s="979"/>
      <c r="EA90" s="979"/>
      <c r="EB90" s="966"/>
      <c r="EC90" s="966"/>
      <c r="ED90" s="980"/>
      <c r="EE90" s="980"/>
      <c r="EF90" s="980"/>
      <c r="EG90" s="966"/>
      <c r="EH90" s="966"/>
      <c r="EI90" s="978"/>
      <c r="EJ90" s="973"/>
      <c r="EK90" s="978"/>
      <c r="EL90" s="973"/>
      <c r="EM90" s="979"/>
      <c r="EN90" s="979"/>
      <c r="EO90" s="966"/>
      <c r="EP90" s="966"/>
      <c r="EQ90" s="980"/>
      <c r="ER90" s="980"/>
      <c r="ES90" s="980"/>
      <c r="ET90" s="966"/>
      <c r="EU90" s="966"/>
      <c r="EV90" s="978"/>
      <c r="EW90" s="973"/>
      <c r="EX90" s="978"/>
      <c r="EY90" s="973"/>
      <c r="EZ90" s="979"/>
      <c r="FA90" s="979"/>
      <c r="FB90" s="966"/>
      <c r="FC90" s="966"/>
      <c r="FD90" s="980"/>
      <c r="FE90" s="980"/>
      <c r="FF90" s="980"/>
      <c r="FG90" s="966"/>
      <c r="FH90" s="966"/>
      <c r="FI90" s="978"/>
      <c r="FJ90" s="973"/>
      <c r="FK90" s="978"/>
      <c r="FL90" s="973"/>
      <c r="FM90" s="979"/>
      <c r="FN90" s="979"/>
      <c r="FO90" s="966"/>
      <c r="FP90" s="966"/>
      <c r="FQ90" s="980"/>
      <c r="FR90" s="980"/>
      <c r="FS90" s="980"/>
      <c r="FT90" s="966"/>
      <c r="FU90" s="966"/>
      <c r="FV90" s="978"/>
      <c r="FW90" s="973"/>
      <c r="FX90" s="978"/>
      <c r="FY90" s="973"/>
      <c r="FZ90" s="979"/>
      <c r="GA90" s="979"/>
      <c r="GB90" s="966"/>
      <c r="GC90" s="966"/>
      <c r="GD90" s="980"/>
      <c r="GE90" s="980"/>
      <c r="GF90" s="980"/>
      <c r="GG90" s="966"/>
      <c r="GH90" s="966"/>
      <c r="GI90" s="978"/>
      <c r="GJ90" s="973"/>
      <c r="GK90" s="978"/>
      <c r="GL90" s="973"/>
      <c r="GM90" s="979"/>
      <c r="GN90" s="979"/>
      <c r="GO90" s="966"/>
      <c r="GP90" s="966"/>
      <c r="GQ90" s="980"/>
      <c r="GR90" s="980"/>
      <c r="GS90" s="980"/>
      <c r="GT90" s="966"/>
      <c r="GU90" s="966"/>
      <c r="GV90" s="978"/>
      <c r="GW90" s="973"/>
      <c r="GX90" s="978"/>
      <c r="GY90" s="973"/>
      <c r="GZ90" s="979"/>
      <c r="HA90" s="979"/>
      <c r="HB90" s="966"/>
      <c r="HC90" s="966"/>
      <c r="HD90" s="980"/>
      <c r="HE90" s="980"/>
      <c r="HF90" s="980"/>
      <c r="HG90" s="966"/>
      <c r="HH90" s="966"/>
      <c r="HI90" s="978"/>
      <c r="HJ90" s="973"/>
      <c r="HK90" s="978"/>
      <c r="HL90" s="973"/>
      <c r="HM90" s="979"/>
      <c r="HN90" s="979"/>
      <c r="HO90" s="966"/>
      <c r="HP90" s="966"/>
      <c r="HQ90" s="980"/>
      <c r="HR90" s="980"/>
      <c r="HS90" s="980"/>
      <c r="HT90" s="966"/>
      <c r="HU90" s="966"/>
      <c r="HV90" s="978"/>
      <c r="HW90" s="973"/>
      <c r="HX90" s="978"/>
      <c r="HY90" s="973"/>
      <c r="HZ90" s="979"/>
      <c r="IA90" s="979"/>
      <c r="IB90" s="966"/>
      <c r="IC90" s="966"/>
      <c r="ID90" s="980"/>
      <c r="IE90" s="980"/>
      <c r="IF90" s="980"/>
      <c r="IG90" s="966"/>
      <c r="IH90" s="966"/>
      <c r="II90" s="978"/>
      <c r="IJ90" s="973"/>
      <c r="IK90" s="978"/>
      <c r="IL90" s="973"/>
      <c r="IM90" s="979"/>
      <c r="IN90" s="979"/>
      <c r="IO90" s="966"/>
      <c r="IP90" s="966"/>
      <c r="IQ90" s="980"/>
      <c r="IR90" s="980"/>
      <c r="IS90" s="980"/>
      <c r="IT90" s="966"/>
      <c r="IU90" s="966"/>
      <c r="IV90" s="978"/>
      <c r="IW90" s="973"/>
      <c r="IX90" s="978"/>
      <c r="IY90" s="973"/>
      <c r="IZ90" s="979"/>
      <c r="JA90" s="979"/>
      <c r="JB90" s="966"/>
      <c r="JC90" s="966"/>
      <c r="JD90" s="980"/>
      <c r="JE90" s="980"/>
      <c r="JF90" s="980"/>
      <c r="JG90" s="966"/>
      <c r="JH90" s="966"/>
      <c r="JI90" s="978"/>
      <c r="JJ90" s="973"/>
      <c r="JK90" s="978"/>
      <c r="JL90" s="973"/>
      <c r="JM90" s="979"/>
      <c r="JN90" s="979"/>
      <c r="JO90" s="966"/>
      <c r="JP90" s="966"/>
      <c r="JQ90" s="980"/>
      <c r="JR90" s="980"/>
      <c r="JS90" s="980"/>
      <c r="JT90" s="966"/>
      <c r="JU90" s="966"/>
      <c r="JV90" s="978"/>
      <c r="JW90" s="973"/>
      <c r="JX90" s="978"/>
      <c r="JY90" s="973"/>
      <c r="JZ90" s="979"/>
      <c r="KA90" s="979"/>
      <c r="KB90" s="966"/>
      <c r="KC90" s="966"/>
      <c r="KD90" s="980"/>
      <c r="KE90" s="980"/>
      <c r="KF90" s="980"/>
      <c r="KG90" s="966"/>
      <c r="KH90" s="966"/>
      <c r="KI90" s="978"/>
      <c r="KJ90" s="973"/>
      <c r="KK90" s="978"/>
      <c r="KL90" s="973"/>
      <c r="KM90" s="979"/>
      <c r="KN90" s="979"/>
      <c r="KO90" s="966"/>
      <c r="KP90" s="966"/>
      <c r="KQ90" s="980"/>
      <c r="KR90" s="980"/>
      <c r="KS90" s="980"/>
      <c r="KT90" s="966"/>
      <c r="KU90" s="966"/>
      <c r="KV90" s="978"/>
      <c r="KW90" s="973"/>
      <c r="KX90" s="978"/>
      <c r="KY90" s="973"/>
      <c r="KZ90" s="979"/>
      <c r="LA90" s="979"/>
      <c r="LB90" s="966"/>
      <c r="LC90" s="966"/>
      <c r="LD90" s="980"/>
      <c r="LE90" s="980"/>
      <c r="LF90" s="980"/>
      <c r="LG90" s="966"/>
      <c r="LH90" s="966"/>
      <c r="LI90" s="978"/>
      <c r="LJ90" s="973"/>
      <c r="LK90" s="978"/>
      <c r="LL90" s="973"/>
      <c r="LM90" s="979"/>
      <c r="LN90" s="979"/>
      <c r="LO90" s="966"/>
      <c r="LP90" s="966"/>
      <c r="LQ90" s="980"/>
      <c r="LR90" s="980"/>
      <c r="LS90" s="980"/>
      <c r="LT90" s="966"/>
      <c r="LU90" s="966"/>
      <c r="LV90" s="978"/>
      <c r="LW90" s="973"/>
      <c r="LX90" s="978"/>
      <c r="LY90" s="973"/>
      <c r="LZ90" s="979"/>
      <c r="MA90" s="979"/>
      <c r="MB90" s="966"/>
      <c r="MC90" s="966"/>
      <c r="MD90" s="980"/>
      <c r="ME90" s="980"/>
      <c r="MF90" s="980"/>
      <c r="MG90" s="966"/>
    </row>
    <row r="91" spans="1:345" s="22" customFormat="1">
      <c r="A91" s="193"/>
      <c r="B91" s="196" t="str">
        <f>IF(C91="","",INDEX(Groups!$C$7:$C$65,MATCH(C91,Groups!$D$7:$D$65,0)))</f>
        <v/>
      </c>
      <c r="C91" s="197" t="str">
        <f>'World Cup'!$E$50</f>
        <v/>
      </c>
      <c r="D91" s="198" t="str">
        <f>IF(E91="","",INDEX(Groups!$C$7:$C$65,MATCH(E91,Groups!$D$7:$D$65,0)))</f>
        <v/>
      </c>
      <c r="E91" s="197" t="str">
        <f>'World Cup'!$F$50</f>
        <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6"/>
      <c r="N91" s="992"/>
      <c r="O91" s="993"/>
      <c r="P91" s="993"/>
      <c r="Q91" s="994">
        <f t="shared" ref="Q91:Q105" si="55">COUNTIF(I$90:I$105,I91)+COUNTIF(K$90:K$105,I91)</f>
        <v>0</v>
      </c>
      <c r="R91" s="994">
        <f t="shared" ref="R91:R105" si="56">COUNTIF(I$90:I$105,K91)+COUNTIF(K$90:K$105,K91)</f>
        <v>0</v>
      </c>
      <c r="S91" s="994"/>
      <c r="T91" s="991" t="str">
        <f t="shared" ref="T91:T105" si="57">IF(OR(I91&lt;&gt;"",K91&lt;&gt;""),IF(Q91&lt;&gt;1,0,COUNTIF($B$90:$B$105,I91)+COUNTIF($D$90:$D$105,I91))+IF(R91&lt;&gt;1,0,COUNTIF($B$90:$B$105,K91)+COUNTIF($D$90:$D$105,K91)),"")</f>
        <v/>
      </c>
      <c r="U91" s="966"/>
      <c r="V91" s="978"/>
      <c r="W91" s="973"/>
      <c r="X91" s="978"/>
      <c r="Y91" s="973"/>
      <c r="Z91" s="979"/>
      <c r="AA91" s="979"/>
      <c r="AB91" s="966"/>
      <c r="AC91" s="966"/>
      <c r="AD91" s="980"/>
      <c r="AE91" s="980"/>
      <c r="AF91" s="980"/>
      <c r="AG91" s="966"/>
      <c r="AH91" s="966"/>
      <c r="AI91" s="978"/>
      <c r="AJ91" s="973"/>
      <c r="AK91" s="978"/>
      <c r="AL91" s="973"/>
      <c r="AM91" s="979"/>
      <c r="AN91" s="979"/>
      <c r="AO91" s="966"/>
      <c r="AP91" s="966"/>
      <c r="AQ91" s="980"/>
      <c r="AR91" s="980"/>
      <c r="AS91" s="980"/>
      <c r="AT91" s="966"/>
      <c r="AU91" s="966"/>
      <c r="AV91" s="978"/>
      <c r="AW91" s="973"/>
      <c r="AX91" s="978"/>
      <c r="AY91" s="973"/>
      <c r="AZ91" s="979"/>
      <c r="BA91" s="979"/>
      <c r="BB91" s="966"/>
      <c r="BC91" s="966"/>
      <c r="BD91" s="980"/>
      <c r="BE91" s="980"/>
      <c r="BF91" s="980"/>
      <c r="BG91" s="966"/>
      <c r="BH91" s="966"/>
      <c r="BI91" s="978"/>
      <c r="BJ91" s="973"/>
      <c r="BK91" s="978"/>
      <c r="BL91" s="973"/>
      <c r="BM91" s="979"/>
      <c r="BN91" s="979"/>
      <c r="BO91" s="966"/>
      <c r="BP91" s="966"/>
      <c r="BQ91" s="980"/>
      <c r="BR91" s="980"/>
      <c r="BS91" s="980"/>
      <c r="BT91" s="966"/>
      <c r="BU91" s="966"/>
      <c r="BV91" s="978"/>
      <c r="BW91" s="973"/>
      <c r="BX91" s="978"/>
      <c r="BY91" s="973"/>
      <c r="BZ91" s="979"/>
      <c r="CA91" s="979"/>
      <c r="CB91" s="966"/>
      <c r="CC91" s="966"/>
      <c r="CD91" s="980"/>
      <c r="CE91" s="980"/>
      <c r="CF91" s="980"/>
      <c r="CG91" s="966"/>
      <c r="CH91" s="966"/>
      <c r="CI91" s="978"/>
      <c r="CJ91" s="973"/>
      <c r="CK91" s="978"/>
      <c r="CL91" s="973"/>
      <c r="CM91" s="979"/>
      <c r="CN91" s="979"/>
      <c r="CO91" s="966"/>
      <c r="CP91" s="966"/>
      <c r="CQ91" s="980"/>
      <c r="CR91" s="980"/>
      <c r="CS91" s="980"/>
      <c r="CT91" s="966"/>
      <c r="CU91" s="966"/>
      <c r="CV91" s="978"/>
      <c r="CW91" s="973"/>
      <c r="CX91" s="978"/>
      <c r="CY91" s="973"/>
      <c r="CZ91" s="979"/>
      <c r="DA91" s="979"/>
      <c r="DB91" s="966"/>
      <c r="DC91" s="966"/>
      <c r="DD91" s="980"/>
      <c r="DE91" s="980"/>
      <c r="DF91" s="980"/>
      <c r="DG91" s="966"/>
      <c r="DH91" s="966"/>
      <c r="DI91" s="978"/>
      <c r="DJ91" s="973"/>
      <c r="DK91" s="978"/>
      <c r="DL91" s="973"/>
      <c r="DM91" s="979"/>
      <c r="DN91" s="979"/>
      <c r="DO91" s="966"/>
      <c r="DP91" s="966"/>
      <c r="DQ91" s="980"/>
      <c r="DR91" s="980"/>
      <c r="DS91" s="980"/>
      <c r="DT91" s="966"/>
      <c r="DU91" s="966"/>
      <c r="DV91" s="978"/>
      <c r="DW91" s="973"/>
      <c r="DX91" s="978"/>
      <c r="DY91" s="973"/>
      <c r="DZ91" s="979"/>
      <c r="EA91" s="979"/>
      <c r="EB91" s="966"/>
      <c r="EC91" s="966"/>
      <c r="ED91" s="980"/>
      <c r="EE91" s="980"/>
      <c r="EF91" s="980"/>
      <c r="EG91" s="966"/>
      <c r="EH91" s="966"/>
      <c r="EI91" s="978"/>
      <c r="EJ91" s="973"/>
      <c r="EK91" s="978"/>
      <c r="EL91" s="973"/>
      <c r="EM91" s="979"/>
      <c r="EN91" s="979"/>
      <c r="EO91" s="966"/>
      <c r="EP91" s="966"/>
      <c r="EQ91" s="980"/>
      <c r="ER91" s="980"/>
      <c r="ES91" s="980"/>
      <c r="ET91" s="966"/>
      <c r="EU91" s="966"/>
      <c r="EV91" s="978"/>
      <c r="EW91" s="973"/>
      <c r="EX91" s="978"/>
      <c r="EY91" s="973"/>
      <c r="EZ91" s="979"/>
      <c r="FA91" s="979"/>
      <c r="FB91" s="966"/>
      <c r="FC91" s="966"/>
      <c r="FD91" s="980"/>
      <c r="FE91" s="980"/>
      <c r="FF91" s="980"/>
      <c r="FG91" s="966"/>
      <c r="FH91" s="966"/>
      <c r="FI91" s="978"/>
      <c r="FJ91" s="973"/>
      <c r="FK91" s="978"/>
      <c r="FL91" s="973"/>
      <c r="FM91" s="979"/>
      <c r="FN91" s="979"/>
      <c r="FO91" s="966"/>
      <c r="FP91" s="966"/>
      <c r="FQ91" s="980"/>
      <c r="FR91" s="980"/>
      <c r="FS91" s="980"/>
      <c r="FT91" s="966"/>
      <c r="FU91" s="966"/>
      <c r="FV91" s="978"/>
      <c r="FW91" s="973"/>
      <c r="FX91" s="978"/>
      <c r="FY91" s="973"/>
      <c r="FZ91" s="979"/>
      <c r="GA91" s="979"/>
      <c r="GB91" s="966"/>
      <c r="GC91" s="966"/>
      <c r="GD91" s="980"/>
      <c r="GE91" s="980"/>
      <c r="GF91" s="980"/>
      <c r="GG91" s="966"/>
      <c r="GH91" s="966"/>
      <c r="GI91" s="978"/>
      <c r="GJ91" s="973"/>
      <c r="GK91" s="978"/>
      <c r="GL91" s="973"/>
      <c r="GM91" s="979"/>
      <c r="GN91" s="979"/>
      <c r="GO91" s="966"/>
      <c r="GP91" s="966"/>
      <c r="GQ91" s="980"/>
      <c r="GR91" s="980"/>
      <c r="GS91" s="980"/>
      <c r="GT91" s="966"/>
      <c r="GU91" s="966"/>
      <c r="GV91" s="978"/>
      <c r="GW91" s="973"/>
      <c r="GX91" s="978"/>
      <c r="GY91" s="973"/>
      <c r="GZ91" s="979"/>
      <c r="HA91" s="979"/>
      <c r="HB91" s="966"/>
      <c r="HC91" s="966"/>
      <c r="HD91" s="980"/>
      <c r="HE91" s="980"/>
      <c r="HF91" s="980"/>
      <c r="HG91" s="966"/>
      <c r="HH91" s="966"/>
      <c r="HI91" s="978"/>
      <c r="HJ91" s="973"/>
      <c r="HK91" s="978"/>
      <c r="HL91" s="973"/>
      <c r="HM91" s="979"/>
      <c r="HN91" s="979"/>
      <c r="HO91" s="966"/>
      <c r="HP91" s="966"/>
      <c r="HQ91" s="980"/>
      <c r="HR91" s="980"/>
      <c r="HS91" s="980"/>
      <c r="HT91" s="966"/>
      <c r="HU91" s="966"/>
      <c r="HV91" s="978"/>
      <c r="HW91" s="973"/>
      <c r="HX91" s="978"/>
      <c r="HY91" s="973"/>
      <c r="HZ91" s="979"/>
      <c r="IA91" s="979"/>
      <c r="IB91" s="966"/>
      <c r="IC91" s="966"/>
      <c r="ID91" s="980"/>
      <c r="IE91" s="980"/>
      <c r="IF91" s="980"/>
      <c r="IG91" s="966"/>
      <c r="IH91" s="966"/>
      <c r="II91" s="978"/>
      <c r="IJ91" s="973"/>
      <c r="IK91" s="978"/>
      <c r="IL91" s="973"/>
      <c r="IM91" s="979"/>
      <c r="IN91" s="979"/>
      <c r="IO91" s="966"/>
      <c r="IP91" s="966"/>
      <c r="IQ91" s="980"/>
      <c r="IR91" s="980"/>
      <c r="IS91" s="980"/>
      <c r="IT91" s="966"/>
      <c r="IU91" s="966"/>
      <c r="IV91" s="978"/>
      <c r="IW91" s="973"/>
      <c r="IX91" s="978"/>
      <c r="IY91" s="973"/>
      <c r="IZ91" s="979"/>
      <c r="JA91" s="979"/>
      <c r="JB91" s="966"/>
      <c r="JC91" s="966"/>
      <c r="JD91" s="980"/>
      <c r="JE91" s="980"/>
      <c r="JF91" s="980"/>
      <c r="JG91" s="966"/>
      <c r="JH91" s="966"/>
      <c r="JI91" s="978"/>
      <c r="JJ91" s="973"/>
      <c r="JK91" s="978"/>
      <c r="JL91" s="973"/>
      <c r="JM91" s="979"/>
      <c r="JN91" s="979"/>
      <c r="JO91" s="966"/>
      <c r="JP91" s="966"/>
      <c r="JQ91" s="980"/>
      <c r="JR91" s="980"/>
      <c r="JS91" s="980"/>
      <c r="JT91" s="966"/>
      <c r="JU91" s="966"/>
      <c r="JV91" s="978"/>
      <c r="JW91" s="973"/>
      <c r="JX91" s="978"/>
      <c r="JY91" s="973"/>
      <c r="JZ91" s="979"/>
      <c r="KA91" s="979"/>
      <c r="KB91" s="966"/>
      <c r="KC91" s="966"/>
      <c r="KD91" s="980"/>
      <c r="KE91" s="980"/>
      <c r="KF91" s="980"/>
      <c r="KG91" s="966"/>
      <c r="KH91" s="966"/>
      <c r="KI91" s="978"/>
      <c r="KJ91" s="973"/>
      <c r="KK91" s="978"/>
      <c r="KL91" s="973"/>
      <c r="KM91" s="979"/>
      <c r="KN91" s="979"/>
      <c r="KO91" s="966"/>
      <c r="KP91" s="966"/>
      <c r="KQ91" s="980"/>
      <c r="KR91" s="980"/>
      <c r="KS91" s="980"/>
      <c r="KT91" s="966"/>
      <c r="KU91" s="966"/>
      <c r="KV91" s="978"/>
      <c r="KW91" s="973"/>
      <c r="KX91" s="978"/>
      <c r="KY91" s="973"/>
      <c r="KZ91" s="979"/>
      <c r="LA91" s="979"/>
      <c r="LB91" s="966"/>
      <c r="LC91" s="966"/>
      <c r="LD91" s="980"/>
      <c r="LE91" s="980"/>
      <c r="LF91" s="980"/>
      <c r="LG91" s="966"/>
      <c r="LH91" s="966"/>
      <c r="LI91" s="978"/>
      <c r="LJ91" s="973"/>
      <c r="LK91" s="978"/>
      <c r="LL91" s="973"/>
      <c r="LM91" s="979"/>
      <c r="LN91" s="979"/>
      <c r="LO91" s="966"/>
      <c r="LP91" s="966"/>
      <c r="LQ91" s="980"/>
      <c r="LR91" s="980"/>
      <c r="LS91" s="980"/>
      <c r="LT91" s="966"/>
      <c r="LU91" s="966"/>
      <c r="LV91" s="978"/>
      <c r="LW91" s="973"/>
      <c r="LX91" s="978"/>
      <c r="LY91" s="973"/>
      <c r="LZ91" s="979"/>
      <c r="MA91" s="979"/>
      <c r="MB91" s="966"/>
      <c r="MC91" s="966"/>
      <c r="MD91" s="980"/>
      <c r="ME91" s="980"/>
      <c r="MF91" s="980"/>
      <c r="MG91" s="966"/>
    </row>
    <row r="92" spans="1:345" s="22" customFormat="1">
      <c r="A92" s="193"/>
      <c r="B92" s="196" t="str">
        <f>IF(C92="","",INDEX(Groups!$C$7:$C$65,MATCH(C92,Groups!$D$7:$D$65,0)))</f>
        <v/>
      </c>
      <c r="C92" s="197" t="str">
        <f>'World Cup'!$H$50</f>
        <v/>
      </c>
      <c r="D92" s="198" t="str">
        <f>IF(E92="","",INDEX(Groups!$C$7:$C$65,MATCH(E92,Groups!$D$7:$D$65,0)))</f>
        <v/>
      </c>
      <c r="E92" s="197" t="str">
        <f>'World Cup'!$I$50</f>
        <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6"/>
      <c r="N92" s="992"/>
      <c r="O92" s="993"/>
      <c r="P92" s="993"/>
      <c r="Q92" s="994">
        <f t="shared" si="55"/>
        <v>0</v>
      </c>
      <c r="R92" s="994">
        <f t="shared" si="56"/>
        <v>0</v>
      </c>
      <c r="S92" s="994"/>
      <c r="T92" s="991" t="str">
        <f t="shared" si="57"/>
        <v/>
      </c>
      <c r="U92" s="966"/>
      <c r="V92" s="978"/>
      <c r="W92" s="973"/>
      <c r="X92" s="978"/>
      <c r="Y92" s="973"/>
      <c r="Z92" s="979"/>
      <c r="AA92" s="979"/>
      <c r="AB92" s="966"/>
      <c r="AC92" s="966"/>
      <c r="AD92" s="980"/>
      <c r="AE92" s="980"/>
      <c r="AF92" s="980"/>
      <c r="AG92" s="966"/>
      <c r="AH92" s="966"/>
      <c r="AI92" s="978"/>
      <c r="AJ92" s="973"/>
      <c r="AK92" s="978"/>
      <c r="AL92" s="973"/>
      <c r="AM92" s="979"/>
      <c r="AN92" s="979"/>
      <c r="AO92" s="966"/>
      <c r="AP92" s="966"/>
      <c r="AQ92" s="980"/>
      <c r="AR92" s="980"/>
      <c r="AS92" s="980"/>
      <c r="AT92" s="966"/>
      <c r="AU92" s="966"/>
      <c r="AV92" s="978"/>
      <c r="AW92" s="973"/>
      <c r="AX92" s="978"/>
      <c r="AY92" s="973"/>
      <c r="AZ92" s="979"/>
      <c r="BA92" s="979"/>
      <c r="BB92" s="966"/>
      <c r="BC92" s="966"/>
      <c r="BD92" s="980"/>
      <c r="BE92" s="980"/>
      <c r="BF92" s="980"/>
      <c r="BG92" s="966"/>
      <c r="BH92" s="966"/>
      <c r="BI92" s="978"/>
      <c r="BJ92" s="973"/>
      <c r="BK92" s="978"/>
      <c r="BL92" s="973"/>
      <c r="BM92" s="979"/>
      <c r="BN92" s="979"/>
      <c r="BO92" s="966"/>
      <c r="BP92" s="966"/>
      <c r="BQ92" s="980"/>
      <c r="BR92" s="980"/>
      <c r="BS92" s="980"/>
      <c r="BT92" s="966"/>
      <c r="BU92" s="966"/>
      <c r="BV92" s="978"/>
      <c r="BW92" s="973"/>
      <c r="BX92" s="978"/>
      <c r="BY92" s="973"/>
      <c r="BZ92" s="979"/>
      <c r="CA92" s="979"/>
      <c r="CB92" s="966"/>
      <c r="CC92" s="966"/>
      <c r="CD92" s="980"/>
      <c r="CE92" s="980"/>
      <c r="CF92" s="980"/>
      <c r="CG92" s="966"/>
      <c r="CH92" s="966"/>
      <c r="CI92" s="978"/>
      <c r="CJ92" s="973"/>
      <c r="CK92" s="978"/>
      <c r="CL92" s="973"/>
      <c r="CM92" s="979"/>
      <c r="CN92" s="979"/>
      <c r="CO92" s="966"/>
      <c r="CP92" s="966"/>
      <c r="CQ92" s="980"/>
      <c r="CR92" s="980"/>
      <c r="CS92" s="980"/>
      <c r="CT92" s="966"/>
      <c r="CU92" s="966"/>
      <c r="CV92" s="978"/>
      <c r="CW92" s="973"/>
      <c r="CX92" s="978"/>
      <c r="CY92" s="973"/>
      <c r="CZ92" s="979"/>
      <c r="DA92" s="979"/>
      <c r="DB92" s="966"/>
      <c r="DC92" s="966"/>
      <c r="DD92" s="980"/>
      <c r="DE92" s="980"/>
      <c r="DF92" s="980"/>
      <c r="DG92" s="966"/>
      <c r="DH92" s="966"/>
      <c r="DI92" s="978"/>
      <c r="DJ92" s="973"/>
      <c r="DK92" s="978"/>
      <c r="DL92" s="973"/>
      <c r="DM92" s="979"/>
      <c r="DN92" s="979"/>
      <c r="DO92" s="966"/>
      <c r="DP92" s="966"/>
      <c r="DQ92" s="980"/>
      <c r="DR92" s="980"/>
      <c r="DS92" s="980"/>
      <c r="DT92" s="966"/>
      <c r="DU92" s="966"/>
      <c r="DV92" s="978"/>
      <c r="DW92" s="973"/>
      <c r="DX92" s="978"/>
      <c r="DY92" s="973"/>
      <c r="DZ92" s="979"/>
      <c r="EA92" s="979"/>
      <c r="EB92" s="966"/>
      <c r="EC92" s="966"/>
      <c r="ED92" s="980"/>
      <c r="EE92" s="980"/>
      <c r="EF92" s="980"/>
      <c r="EG92" s="966"/>
      <c r="EH92" s="966"/>
      <c r="EI92" s="978"/>
      <c r="EJ92" s="973"/>
      <c r="EK92" s="978"/>
      <c r="EL92" s="973"/>
      <c r="EM92" s="979"/>
      <c r="EN92" s="979"/>
      <c r="EO92" s="966"/>
      <c r="EP92" s="966"/>
      <c r="EQ92" s="980"/>
      <c r="ER92" s="980"/>
      <c r="ES92" s="980"/>
      <c r="ET92" s="966"/>
      <c r="EU92" s="966"/>
      <c r="EV92" s="978"/>
      <c r="EW92" s="973"/>
      <c r="EX92" s="978"/>
      <c r="EY92" s="973"/>
      <c r="EZ92" s="979"/>
      <c r="FA92" s="979"/>
      <c r="FB92" s="966"/>
      <c r="FC92" s="966"/>
      <c r="FD92" s="980"/>
      <c r="FE92" s="980"/>
      <c r="FF92" s="980"/>
      <c r="FG92" s="966"/>
      <c r="FH92" s="966"/>
      <c r="FI92" s="978"/>
      <c r="FJ92" s="973"/>
      <c r="FK92" s="978"/>
      <c r="FL92" s="973"/>
      <c r="FM92" s="979"/>
      <c r="FN92" s="979"/>
      <c r="FO92" s="966"/>
      <c r="FP92" s="966"/>
      <c r="FQ92" s="980"/>
      <c r="FR92" s="980"/>
      <c r="FS92" s="980"/>
      <c r="FT92" s="966"/>
      <c r="FU92" s="966"/>
      <c r="FV92" s="978"/>
      <c r="FW92" s="973"/>
      <c r="FX92" s="978"/>
      <c r="FY92" s="973"/>
      <c r="FZ92" s="979"/>
      <c r="GA92" s="979"/>
      <c r="GB92" s="966"/>
      <c r="GC92" s="966"/>
      <c r="GD92" s="980"/>
      <c r="GE92" s="980"/>
      <c r="GF92" s="980"/>
      <c r="GG92" s="966"/>
      <c r="GH92" s="966"/>
      <c r="GI92" s="978"/>
      <c r="GJ92" s="973"/>
      <c r="GK92" s="978"/>
      <c r="GL92" s="973"/>
      <c r="GM92" s="979"/>
      <c r="GN92" s="979"/>
      <c r="GO92" s="966"/>
      <c r="GP92" s="966"/>
      <c r="GQ92" s="980"/>
      <c r="GR92" s="980"/>
      <c r="GS92" s="980"/>
      <c r="GT92" s="966"/>
      <c r="GU92" s="966"/>
      <c r="GV92" s="978"/>
      <c r="GW92" s="973"/>
      <c r="GX92" s="978"/>
      <c r="GY92" s="973"/>
      <c r="GZ92" s="979"/>
      <c r="HA92" s="979"/>
      <c r="HB92" s="966"/>
      <c r="HC92" s="966"/>
      <c r="HD92" s="980"/>
      <c r="HE92" s="980"/>
      <c r="HF92" s="980"/>
      <c r="HG92" s="966"/>
      <c r="HH92" s="966"/>
      <c r="HI92" s="978"/>
      <c r="HJ92" s="973"/>
      <c r="HK92" s="978"/>
      <c r="HL92" s="973"/>
      <c r="HM92" s="979"/>
      <c r="HN92" s="979"/>
      <c r="HO92" s="966"/>
      <c r="HP92" s="966"/>
      <c r="HQ92" s="980"/>
      <c r="HR92" s="980"/>
      <c r="HS92" s="980"/>
      <c r="HT92" s="966"/>
      <c r="HU92" s="966"/>
      <c r="HV92" s="978"/>
      <c r="HW92" s="973"/>
      <c r="HX92" s="978"/>
      <c r="HY92" s="973"/>
      <c r="HZ92" s="979"/>
      <c r="IA92" s="979"/>
      <c r="IB92" s="966"/>
      <c r="IC92" s="966"/>
      <c r="ID92" s="980"/>
      <c r="IE92" s="980"/>
      <c r="IF92" s="980"/>
      <c r="IG92" s="966"/>
      <c r="IH92" s="966"/>
      <c r="II92" s="978"/>
      <c r="IJ92" s="973"/>
      <c r="IK92" s="978"/>
      <c r="IL92" s="973"/>
      <c r="IM92" s="979"/>
      <c r="IN92" s="979"/>
      <c r="IO92" s="966"/>
      <c r="IP92" s="966"/>
      <c r="IQ92" s="980"/>
      <c r="IR92" s="980"/>
      <c r="IS92" s="980"/>
      <c r="IT92" s="966"/>
      <c r="IU92" s="966"/>
      <c r="IV92" s="978"/>
      <c r="IW92" s="973"/>
      <c r="IX92" s="978"/>
      <c r="IY92" s="973"/>
      <c r="IZ92" s="979"/>
      <c r="JA92" s="979"/>
      <c r="JB92" s="966"/>
      <c r="JC92" s="966"/>
      <c r="JD92" s="980"/>
      <c r="JE92" s="980"/>
      <c r="JF92" s="980"/>
      <c r="JG92" s="966"/>
      <c r="JH92" s="966"/>
      <c r="JI92" s="978"/>
      <c r="JJ92" s="973"/>
      <c r="JK92" s="978"/>
      <c r="JL92" s="973"/>
      <c r="JM92" s="979"/>
      <c r="JN92" s="979"/>
      <c r="JO92" s="966"/>
      <c r="JP92" s="966"/>
      <c r="JQ92" s="980"/>
      <c r="JR92" s="980"/>
      <c r="JS92" s="980"/>
      <c r="JT92" s="966"/>
      <c r="JU92" s="966"/>
      <c r="JV92" s="978"/>
      <c r="JW92" s="973"/>
      <c r="JX92" s="978"/>
      <c r="JY92" s="973"/>
      <c r="JZ92" s="979"/>
      <c r="KA92" s="979"/>
      <c r="KB92" s="966"/>
      <c r="KC92" s="966"/>
      <c r="KD92" s="980"/>
      <c r="KE92" s="980"/>
      <c r="KF92" s="980"/>
      <c r="KG92" s="966"/>
      <c r="KH92" s="966"/>
      <c r="KI92" s="978"/>
      <c r="KJ92" s="973"/>
      <c r="KK92" s="978"/>
      <c r="KL92" s="973"/>
      <c r="KM92" s="979"/>
      <c r="KN92" s="979"/>
      <c r="KO92" s="966"/>
      <c r="KP92" s="966"/>
      <c r="KQ92" s="980"/>
      <c r="KR92" s="980"/>
      <c r="KS92" s="980"/>
      <c r="KT92" s="966"/>
      <c r="KU92" s="966"/>
      <c r="KV92" s="978"/>
      <c r="KW92" s="973"/>
      <c r="KX92" s="978"/>
      <c r="KY92" s="973"/>
      <c r="KZ92" s="979"/>
      <c r="LA92" s="979"/>
      <c r="LB92" s="966"/>
      <c r="LC92" s="966"/>
      <c r="LD92" s="980"/>
      <c r="LE92" s="980"/>
      <c r="LF92" s="980"/>
      <c r="LG92" s="966"/>
      <c r="LH92" s="966"/>
      <c r="LI92" s="978"/>
      <c r="LJ92" s="973"/>
      <c r="LK92" s="978"/>
      <c r="LL92" s="973"/>
      <c r="LM92" s="979"/>
      <c r="LN92" s="979"/>
      <c r="LO92" s="966"/>
      <c r="LP92" s="966"/>
      <c r="LQ92" s="980"/>
      <c r="LR92" s="980"/>
      <c r="LS92" s="980"/>
      <c r="LT92" s="966"/>
      <c r="LU92" s="966"/>
      <c r="LV92" s="978"/>
      <c r="LW92" s="973"/>
      <c r="LX92" s="978"/>
      <c r="LY92" s="973"/>
      <c r="LZ92" s="979"/>
      <c r="MA92" s="979"/>
      <c r="MB92" s="966"/>
      <c r="MC92" s="966"/>
      <c r="MD92" s="980"/>
      <c r="ME92" s="980"/>
      <c r="MF92" s="980"/>
      <c r="MG92" s="966"/>
    </row>
    <row r="93" spans="1:345" s="22" customFormat="1">
      <c r="A93" s="193"/>
      <c r="B93" s="196" t="str">
        <f>IF(C93="","",INDEX(Groups!$C$7:$C$65,MATCH(C93,Groups!$D$7:$D$65,0)))</f>
        <v/>
      </c>
      <c r="C93" s="197" t="str">
        <f>'World Cup'!$K$50</f>
        <v/>
      </c>
      <c r="D93" s="198" t="str">
        <f>IF(E93="","",INDEX(Groups!$C$7:$C$65,MATCH(E93,Groups!$D$7:$D$65,0)))</f>
        <v/>
      </c>
      <c r="E93" s="197" t="str">
        <f>'World Cup'!$L$50</f>
        <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6"/>
      <c r="N93" s="992"/>
      <c r="O93" s="993"/>
      <c r="P93" s="993"/>
      <c r="Q93" s="994">
        <f t="shared" si="55"/>
        <v>0</v>
      </c>
      <c r="R93" s="994">
        <f t="shared" si="56"/>
        <v>0</v>
      </c>
      <c r="S93" s="994"/>
      <c r="T93" s="991" t="str">
        <f t="shared" si="57"/>
        <v/>
      </c>
      <c r="U93" s="966"/>
      <c r="V93" s="978"/>
      <c r="W93" s="973"/>
      <c r="X93" s="978"/>
      <c r="Y93" s="973"/>
      <c r="Z93" s="979"/>
      <c r="AA93" s="979"/>
      <c r="AB93" s="966"/>
      <c r="AC93" s="966"/>
      <c r="AD93" s="980"/>
      <c r="AE93" s="980"/>
      <c r="AF93" s="980"/>
      <c r="AG93" s="966"/>
      <c r="AH93" s="966"/>
      <c r="AI93" s="978"/>
      <c r="AJ93" s="973"/>
      <c r="AK93" s="978"/>
      <c r="AL93" s="973"/>
      <c r="AM93" s="979"/>
      <c r="AN93" s="979"/>
      <c r="AO93" s="966"/>
      <c r="AP93" s="966"/>
      <c r="AQ93" s="980"/>
      <c r="AR93" s="980"/>
      <c r="AS93" s="980"/>
      <c r="AT93" s="966"/>
      <c r="AU93" s="966"/>
      <c r="AV93" s="978"/>
      <c r="AW93" s="973"/>
      <c r="AX93" s="978"/>
      <c r="AY93" s="973"/>
      <c r="AZ93" s="979"/>
      <c r="BA93" s="979"/>
      <c r="BB93" s="966"/>
      <c r="BC93" s="966"/>
      <c r="BD93" s="980"/>
      <c r="BE93" s="980"/>
      <c r="BF93" s="980"/>
      <c r="BG93" s="966"/>
      <c r="BH93" s="966"/>
      <c r="BI93" s="978"/>
      <c r="BJ93" s="973"/>
      <c r="BK93" s="978"/>
      <c r="BL93" s="973"/>
      <c r="BM93" s="979"/>
      <c r="BN93" s="979"/>
      <c r="BO93" s="966"/>
      <c r="BP93" s="966"/>
      <c r="BQ93" s="980"/>
      <c r="BR93" s="980"/>
      <c r="BS93" s="980"/>
      <c r="BT93" s="966"/>
      <c r="BU93" s="966"/>
      <c r="BV93" s="978"/>
      <c r="BW93" s="973"/>
      <c r="BX93" s="978"/>
      <c r="BY93" s="973"/>
      <c r="BZ93" s="979"/>
      <c r="CA93" s="979"/>
      <c r="CB93" s="966"/>
      <c r="CC93" s="966"/>
      <c r="CD93" s="980"/>
      <c r="CE93" s="980"/>
      <c r="CF93" s="980"/>
      <c r="CG93" s="966"/>
      <c r="CH93" s="966"/>
      <c r="CI93" s="978"/>
      <c r="CJ93" s="973"/>
      <c r="CK93" s="978"/>
      <c r="CL93" s="973"/>
      <c r="CM93" s="979"/>
      <c r="CN93" s="979"/>
      <c r="CO93" s="966"/>
      <c r="CP93" s="966"/>
      <c r="CQ93" s="980"/>
      <c r="CR93" s="980"/>
      <c r="CS93" s="980"/>
      <c r="CT93" s="966"/>
      <c r="CU93" s="966"/>
      <c r="CV93" s="978"/>
      <c r="CW93" s="973"/>
      <c r="CX93" s="978"/>
      <c r="CY93" s="973"/>
      <c r="CZ93" s="979"/>
      <c r="DA93" s="979"/>
      <c r="DB93" s="966"/>
      <c r="DC93" s="966"/>
      <c r="DD93" s="980"/>
      <c r="DE93" s="980"/>
      <c r="DF93" s="980"/>
      <c r="DG93" s="966"/>
      <c r="DH93" s="966"/>
      <c r="DI93" s="978"/>
      <c r="DJ93" s="973"/>
      <c r="DK93" s="978"/>
      <c r="DL93" s="973"/>
      <c r="DM93" s="979"/>
      <c r="DN93" s="979"/>
      <c r="DO93" s="966"/>
      <c r="DP93" s="966"/>
      <c r="DQ93" s="980"/>
      <c r="DR93" s="980"/>
      <c r="DS93" s="980"/>
      <c r="DT93" s="966"/>
      <c r="DU93" s="966"/>
      <c r="DV93" s="978"/>
      <c r="DW93" s="973"/>
      <c r="DX93" s="978"/>
      <c r="DY93" s="973"/>
      <c r="DZ93" s="979"/>
      <c r="EA93" s="979"/>
      <c r="EB93" s="966"/>
      <c r="EC93" s="966"/>
      <c r="ED93" s="980"/>
      <c r="EE93" s="980"/>
      <c r="EF93" s="980"/>
      <c r="EG93" s="966"/>
      <c r="EH93" s="966"/>
      <c r="EI93" s="978"/>
      <c r="EJ93" s="973"/>
      <c r="EK93" s="978"/>
      <c r="EL93" s="973"/>
      <c r="EM93" s="979"/>
      <c r="EN93" s="979"/>
      <c r="EO93" s="966"/>
      <c r="EP93" s="966"/>
      <c r="EQ93" s="980"/>
      <c r="ER93" s="980"/>
      <c r="ES93" s="980"/>
      <c r="ET93" s="966"/>
      <c r="EU93" s="966"/>
      <c r="EV93" s="978"/>
      <c r="EW93" s="973"/>
      <c r="EX93" s="978"/>
      <c r="EY93" s="973"/>
      <c r="EZ93" s="979"/>
      <c r="FA93" s="979"/>
      <c r="FB93" s="966"/>
      <c r="FC93" s="966"/>
      <c r="FD93" s="980"/>
      <c r="FE93" s="980"/>
      <c r="FF93" s="980"/>
      <c r="FG93" s="966"/>
      <c r="FH93" s="966"/>
      <c r="FI93" s="978"/>
      <c r="FJ93" s="973"/>
      <c r="FK93" s="978"/>
      <c r="FL93" s="973"/>
      <c r="FM93" s="979"/>
      <c r="FN93" s="979"/>
      <c r="FO93" s="966"/>
      <c r="FP93" s="966"/>
      <c r="FQ93" s="980"/>
      <c r="FR93" s="980"/>
      <c r="FS93" s="980"/>
      <c r="FT93" s="966"/>
      <c r="FU93" s="966"/>
      <c r="FV93" s="978"/>
      <c r="FW93" s="973"/>
      <c r="FX93" s="978"/>
      <c r="FY93" s="973"/>
      <c r="FZ93" s="979"/>
      <c r="GA93" s="979"/>
      <c r="GB93" s="966"/>
      <c r="GC93" s="966"/>
      <c r="GD93" s="980"/>
      <c r="GE93" s="980"/>
      <c r="GF93" s="980"/>
      <c r="GG93" s="966"/>
      <c r="GH93" s="966"/>
      <c r="GI93" s="978"/>
      <c r="GJ93" s="973"/>
      <c r="GK93" s="978"/>
      <c r="GL93" s="973"/>
      <c r="GM93" s="979"/>
      <c r="GN93" s="979"/>
      <c r="GO93" s="966"/>
      <c r="GP93" s="966"/>
      <c r="GQ93" s="980"/>
      <c r="GR93" s="980"/>
      <c r="GS93" s="980"/>
      <c r="GT93" s="966"/>
      <c r="GU93" s="966"/>
      <c r="GV93" s="978"/>
      <c r="GW93" s="973"/>
      <c r="GX93" s="978"/>
      <c r="GY93" s="973"/>
      <c r="GZ93" s="979"/>
      <c r="HA93" s="979"/>
      <c r="HB93" s="966"/>
      <c r="HC93" s="966"/>
      <c r="HD93" s="980"/>
      <c r="HE93" s="980"/>
      <c r="HF93" s="980"/>
      <c r="HG93" s="966"/>
      <c r="HH93" s="966"/>
      <c r="HI93" s="978"/>
      <c r="HJ93" s="973"/>
      <c r="HK93" s="978"/>
      <c r="HL93" s="973"/>
      <c r="HM93" s="979"/>
      <c r="HN93" s="979"/>
      <c r="HO93" s="966"/>
      <c r="HP93" s="966"/>
      <c r="HQ93" s="980"/>
      <c r="HR93" s="980"/>
      <c r="HS93" s="980"/>
      <c r="HT93" s="966"/>
      <c r="HU93" s="966"/>
      <c r="HV93" s="978"/>
      <c r="HW93" s="973"/>
      <c r="HX93" s="978"/>
      <c r="HY93" s="973"/>
      <c r="HZ93" s="979"/>
      <c r="IA93" s="979"/>
      <c r="IB93" s="966"/>
      <c r="IC93" s="966"/>
      <c r="ID93" s="980"/>
      <c r="IE93" s="980"/>
      <c r="IF93" s="980"/>
      <c r="IG93" s="966"/>
      <c r="IH93" s="966"/>
      <c r="II93" s="978"/>
      <c r="IJ93" s="973"/>
      <c r="IK93" s="978"/>
      <c r="IL93" s="973"/>
      <c r="IM93" s="979"/>
      <c r="IN93" s="979"/>
      <c r="IO93" s="966"/>
      <c r="IP93" s="966"/>
      <c r="IQ93" s="980"/>
      <c r="IR93" s="980"/>
      <c r="IS93" s="980"/>
      <c r="IT93" s="966"/>
      <c r="IU93" s="966"/>
      <c r="IV93" s="978"/>
      <c r="IW93" s="973"/>
      <c r="IX93" s="978"/>
      <c r="IY93" s="973"/>
      <c r="IZ93" s="979"/>
      <c r="JA93" s="979"/>
      <c r="JB93" s="966"/>
      <c r="JC93" s="966"/>
      <c r="JD93" s="980"/>
      <c r="JE93" s="980"/>
      <c r="JF93" s="980"/>
      <c r="JG93" s="966"/>
      <c r="JH93" s="966"/>
      <c r="JI93" s="978"/>
      <c r="JJ93" s="973"/>
      <c r="JK93" s="978"/>
      <c r="JL93" s="973"/>
      <c r="JM93" s="979"/>
      <c r="JN93" s="979"/>
      <c r="JO93" s="966"/>
      <c r="JP93" s="966"/>
      <c r="JQ93" s="980"/>
      <c r="JR93" s="980"/>
      <c r="JS93" s="980"/>
      <c r="JT93" s="966"/>
      <c r="JU93" s="966"/>
      <c r="JV93" s="978"/>
      <c r="JW93" s="973"/>
      <c r="JX93" s="978"/>
      <c r="JY93" s="973"/>
      <c r="JZ93" s="979"/>
      <c r="KA93" s="979"/>
      <c r="KB93" s="966"/>
      <c r="KC93" s="966"/>
      <c r="KD93" s="980"/>
      <c r="KE93" s="980"/>
      <c r="KF93" s="980"/>
      <c r="KG93" s="966"/>
      <c r="KH93" s="966"/>
      <c r="KI93" s="978"/>
      <c r="KJ93" s="973"/>
      <c r="KK93" s="978"/>
      <c r="KL93" s="973"/>
      <c r="KM93" s="979"/>
      <c r="KN93" s="979"/>
      <c r="KO93" s="966"/>
      <c r="KP93" s="966"/>
      <c r="KQ93" s="980"/>
      <c r="KR93" s="980"/>
      <c r="KS93" s="980"/>
      <c r="KT93" s="966"/>
      <c r="KU93" s="966"/>
      <c r="KV93" s="978"/>
      <c r="KW93" s="973"/>
      <c r="KX93" s="978"/>
      <c r="KY93" s="973"/>
      <c r="KZ93" s="979"/>
      <c r="LA93" s="979"/>
      <c r="LB93" s="966"/>
      <c r="LC93" s="966"/>
      <c r="LD93" s="980"/>
      <c r="LE93" s="980"/>
      <c r="LF93" s="980"/>
      <c r="LG93" s="966"/>
      <c r="LH93" s="966"/>
      <c r="LI93" s="978"/>
      <c r="LJ93" s="973"/>
      <c r="LK93" s="978"/>
      <c r="LL93" s="973"/>
      <c r="LM93" s="979"/>
      <c r="LN93" s="979"/>
      <c r="LO93" s="966"/>
      <c r="LP93" s="966"/>
      <c r="LQ93" s="980"/>
      <c r="LR93" s="980"/>
      <c r="LS93" s="980"/>
      <c r="LT93" s="966"/>
      <c r="LU93" s="966"/>
      <c r="LV93" s="978"/>
      <c r="LW93" s="973"/>
      <c r="LX93" s="978"/>
      <c r="LY93" s="973"/>
      <c r="LZ93" s="979"/>
      <c r="MA93" s="979"/>
      <c r="MB93" s="966"/>
      <c r="MC93" s="966"/>
      <c r="MD93" s="980"/>
      <c r="ME93" s="980"/>
      <c r="MF93" s="980"/>
      <c r="MG93" s="966"/>
    </row>
    <row r="94" spans="1:345" s="22" customFormat="1">
      <c r="A94" s="193"/>
      <c r="B94" s="196" t="str">
        <f>IF(C94="","",INDEX(Groups!$C$7:$C$65,MATCH(C94,Groups!$D$7:$D$65,0)))</f>
        <v/>
      </c>
      <c r="C94" s="197" t="str">
        <f>'World Cup'!$N$50</f>
        <v/>
      </c>
      <c r="D94" s="198" t="str">
        <f>IF(E94="","",INDEX(Groups!$C$7:$C$65,MATCH(E94,Groups!$D$7:$D$65,0)))</f>
        <v/>
      </c>
      <c r="E94" s="197" t="str">
        <f>'World Cup'!$O$50</f>
        <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6"/>
      <c r="N94" s="992"/>
      <c r="O94" s="993"/>
      <c r="P94" s="993"/>
      <c r="Q94" s="994">
        <f t="shared" si="55"/>
        <v>0</v>
      </c>
      <c r="R94" s="994">
        <f t="shared" si="56"/>
        <v>0</v>
      </c>
      <c r="S94" s="994"/>
      <c r="T94" s="991" t="str">
        <f t="shared" si="57"/>
        <v/>
      </c>
      <c r="U94" s="966"/>
      <c r="V94" s="978"/>
      <c r="W94" s="973"/>
      <c r="X94" s="978"/>
      <c r="Y94" s="973"/>
      <c r="Z94" s="979"/>
      <c r="AA94" s="979"/>
      <c r="AB94" s="966"/>
      <c r="AC94" s="966"/>
      <c r="AD94" s="980"/>
      <c r="AE94" s="980"/>
      <c r="AF94" s="980"/>
      <c r="AG94" s="966"/>
      <c r="AH94" s="966"/>
      <c r="AI94" s="978"/>
      <c r="AJ94" s="973"/>
      <c r="AK94" s="978"/>
      <c r="AL94" s="973"/>
      <c r="AM94" s="979"/>
      <c r="AN94" s="979"/>
      <c r="AO94" s="966"/>
      <c r="AP94" s="966"/>
      <c r="AQ94" s="980"/>
      <c r="AR94" s="980"/>
      <c r="AS94" s="980"/>
      <c r="AT94" s="966"/>
      <c r="AU94" s="966"/>
      <c r="AV94" s="978"/>
      <c r="AW94" s="973"/>
      <c r="AX94" s="978"/>
      <c r="AY94" s="973"/>
      <c r="AZ94" s="979"/>
      <c r="BA94" s="979"/>
      <c r="BB94" s="966"/>
      <c r="BC94" s="966"/>
      <c r="BD94" s="980"/>
      <c r="BE94" s="980"/>
      <c r="BF94" s="980"/>
      <c r="BG94" s="966"/>
      <c r="BH94" s="966"/>
      <c r="BI94" s="978"/>
      <c r="BJ94" s="973"/>
      <c r="BK94" s="978"/>
      <c r="BL94" s="973"/>
      <c r="BM94" s="979"/>
      <c r="BN94" s="979"/>
      <c r="BO94" s="966"/>
      <c r="BP94" s="966"/>
      <c r="BQ94" s="980"/>
      <c r="BR94" s="980"/>
      <c r="BS94" s="980"/>
      <c r="BT94" s="966"/>
      <c r="BU94" s="966"/>
      <c r="BV94" s="978"/>
      <c r="BW94" s="973"/>
      <c r="BX94" s="978"/>
      <c r="BY94" s="973"/>
      <c r="BZ94" s="979"/>
      <c r="CA94" s="979"/>
      <c r="CB94" s="966"/>
      <c r="CC94" s="966"/>
      <c r="CD94" s="980"/>
      <c r="CE94" s="980"/>
      <c r="CF94" s="980"/>
      <c r="CG94" s="966"/>
      <c r="CH94" s="966"/>
      <c r="CI94" s="978"/>
      <c r="CJ94" s="973"/>
      <c r="CK94" s="978"/>
      <c r="CL94" s="973"/>
      <c r="CM94" s="979"/>
      <c r="CN94" s="979"/>
      <c r="CO94" s="966"/>
      <c r="CP94" s="966"/>
      <c r="CQ94" s="980"/>
      <c r="CR94" s="980"/>
      <c r="CS94" s="980"/>
      <c r="CT94" s="966"/>
      <c r="CU94" s="966"/>
      <c r="CV94" s="978"/>
      <c r="CW94" s="973"/>
      <c r="CX94" s="978"/>
      <c r="CY94" s="973"/>
      <c r="CZ94" s="979"/>
      <c r="DA94" s="979"/>
      <c r="DB94" s="966"/>
      <c r="DC94" s="966"/>
      <c r="DD94" s="980"/>
      <c r="DE94" s="980"/>
      <c r="DF94" s="980"/>
      <c r="DG94" s="966"/>
      <c r="DH94" s="966"/>
      <c r="DI94" s="978"/>
      <c r="DJ94" s="973"/>
      <c r="DK94" s="978"/>
      <c r="DL94" s="973"/>
      <c r="DM94" s="979"/>
      <c r="DN94" s="979"/>
      <c r="DO94" s="966"/>
      <c r="DP94" s="966"/>
      <c r="DQ94" s="980"/>
      <c r="DR94" s="980"/>
      <c r="DS94" s="980"/>
      <c r="DT94" s="966"/>
      <c r="DU94" s="966"/>
      <c r="DV94" s="978"/>
      <c r="DW94" s="973"/>
      <c r="DX94" s="978"/>
      <c r="DY94" s="973"/>
      <c r="DZ94" s="979"/>
      <c r="EA94" s="979"/>
      <c r="EB94" s="966"/>
      <c r="EC94" s="966"/>
      <c r="ED94" s="980"/>
      <c r="EE94" s="980"/>
      <c r="EF94" s="980"/>
      <c r="EG94" s="966"/>
      <c r="EH94" s="966"/>
      <c r="EI94" s="978"/>
      <c r="EJ94" s="973"/>
      <c r="EK94" s="978"/>
      <c r="EL94" s="973"/>
      <c r="EM94" s="979"/>
      <c r="EN94" s="979"/>
      <c r="EO94" s="966"/>
      <c r="EP94" s="966"/>
      <c r="EQ94" s="980"/>
      <c r="ER94" s="980"/>
      <c r="ES94" s="980"/>
      <c r="ET94" s="966"/>
      <c r="EU94" s="966"/>
      <c r="EV94" s="978"/>
      <c r="EW94" s="973"/>
      <c r="EX94" s="978"/>
      <c r="EY94" s="973"/>
      <c r="EZ94" s="979"/>
      <c r="FA94" s="979"/>
      <c r="FB94" s="966"/>
      <c r="FC94" s="966"/>
      <c r="FD94" s="980"/>
      <c r="FE94" s="980"/>
      <c r="FF94" s="980"/>
      <c r="FG94" s="966"/>
      <c r="FH94" s="966"/>
      <c r="FI94" s="978"/>
      <c r="FJ94" s="973"/>
      <c r="FK94" s="978"/>
      <c r="FL94" s="973"/>
      <c r="FM94" s="979"/>
      <c r="FN94" s="979"/>
      <c r="FO94" s="966"/>
      <c r="FP94" s="966"/>
      <c r="FQ94" s="980"/>
      <c r="FR94" s="980"/>
      <c r="FS94" s="980"/>
      <c r="FT94" s="966"/>
      <c r="FU94" s="966"/>
      <c r="FV94" s="978"/>
      <c r="FW94" s="973"/>
      <c r="FX94" s="978"/>
      <c r="FY94" s="973"/>
      <c r="FZ94" s="979"/>
      <c r="GA94" s="979"/>
      <c r="GB94" s="966"/>
      <c r="GC94" s="966"/>
      <c r="GD94" s="980"/>
      <c r="GE94" s="980"/>
      <c r="GF94" s="980"/>
      <c r="GG94" s="966"/>
      <c r="GH94" s="966"/>
      <c r="GI94" s="978"/>
      <c r="GJ94" s="973"/>
      <c r="GK94" s="978"/>
      <c r="GL94" s="973"/>
      <c r="GM94" s="979"/>
      <c r="GN94" s="979"/>
      <c r="GO94" s="966"/>
      <c r="GP94" s="966"/>
      <c r="GQ94" s="980"/>
      <c r="GR94" s="980"/>
      <c r="GS94" s="980"/>
      <c r="GT94" s="966"/>
      <c r="GU94" s="966"/>
      <c r="GV94" s="978"/>
      <c r="GW94" s="973"/>
      <c r="GX94" s="978"/>
      <c r="GY94" s="973"/>
      <c r="GZ94" s="979"/>
      <c r="HA94" s="979"/>
      <c r="HB94" s="966"/>
      <c r="HC94" s="966"/>
      <c r="HD94" s="980"/>
      <c r="HE94" s="980"/>
      <c r="HF94" s="980"/>
      <c r="HG94" s="966"/>
      <c r="HH94" s="966"/>
      <c r="HI94" s="978"/>
      <c r="HJ94" s="973"/>
      <c r="HK94" s="978"/>
      <c r="HL94" s="973"/>
      <c r="HM94" s="979"/>
      <c r="HN94" s="979"/>
      <c r="HO94" s="966"/>
      <c r="HP94" s="966"/>
      <c r="HQ94" s="980"/>
      <c r="HR94" s="980"/>
      <c r="HS94" s="980"/>
      <c r="HT94" s="966"/>
      <c r="HU94" s="966"/>
      <c r="HV94" s="978"/>
      <c r="HW94" s="973"/>
      <c r="HX94" s="978"/>
      <c r="HY94" s="973"/>
      <c r="HZ94" s="979"/>
      <c r="IA94" s="979"/>
      <c r="IB94" s="966"/>
      <c r="IC94" s="966"/>
      <c r="ID94" s="980"/>
      <c r="IE94" s="980"/>
      <c r="IF94" s="980"/>
      <c r="IG94" s="966"/>
      <c r="IH94" s="966"/>
      <c r="II94" s="978"/>
      <c r="IJ94" s="973"/>
      <c r="IK94" s="978"/>
      <c r="IL94" s="973"/>
      <c r="IM94" s="979"/>
      <c r="IN94" s="979"/>
      <c r="IO94" s="966"/>
      <c r="IP94" s="966"/>
      <c r="IQ94" s="980"/>
      <c r="IR94" s="980"/>
      <c r="IS94" s="980"/>
      <c r="IT94" s="966"/>
      <c r="IU94" s="966"/>
      <c r="IV94" s="978"/>
      <c r="IW94" s="973"/>
      <c r="IX94" s="978"/>
      <c r="IY94" s="973"/>
      <c r="IZ94" s="979"/>
      <c r="JA94" s="979"/>
      <c r="JB94" s="966"/>
      <c r="JC94" s="966"/>
      <c r="JD94" s="980"/>
      <c r="JE94" s="980"/>
      <c r="JF94" s="980"/>
      <c r="JG94" s="966"/>
      <c r="JH94" s="966"/>
      <c r="JI94" s="978"/>
      <c r="JJ94" s="973"/>
      <c r="JK94" s="978"/>
      <c r="JL94" s="973"/>
      <c r="JM94" s="979"/>
      <c r="JN94" s="979"/>
      <c r="JO94" s="966"/>
      <c r="JP94" s="966"/>
      <c r="JQ94" s="980"/>
      <c r="JR94" s="980"/>
      <c r="JS94" s="980"/>
      <c r="JT94" s="966"/>
      <c r="JU94" s="966"/>
      <c r="JV94" s="978"/>
      <c r="JW94" s="973"/>
      <c r="JX94" s="978"/>
      <c r="JY94" s="973"/>
      <c r="JZ94" s="979"/>
      <c r="KA94" s="979"/>
      <c r="KB94" s="966"/>
      <c r="KC94" s="966"/>
      <c r="KD94" s="980"/>
      <c r="KE94" s="980"/>
      <c r="KF94" s="980"/>
      <c r="KG94" s="966"/>
      <c r="KH94" s="966"/>
      <c r="KI94" s="978"/>
      <c r="KJ94" s="973"/>
      <c r="KK94" s="978"/>
      <c r="KL94" s="973"/>
      <c r="KM94" s="979"/>
      <c r="KN94" s="979"/>
      <c r="KO94" s="966"/>
      <c r="KP94" s="966"/>
      <c r="KQ94" s="980"/>
      <c r="KR94" s="980"/>
      <c r="KS94" s="980"/>
      <c r="KT94" s="966"/>
      <c r="KU94" s="966"/>
      <c r="KV94" s="978"/>
      <c r="KW94" s="973"/>
      <c r="KX94" s="978"/>
      <c r="KY94" s="973"/>
      <c r="KZ94" s="979"/>
      <c r="LA94" s="979"/>
      <c r="LB94" s="966"/>
      <c r="LC94" s="966"/>
      <c r="LD94" s="980"/>
      <c r="LE94" s="980"/>
      <c r="LF94" s="980"/>
      <c r="LG94" s="966"/>
      <c r="LH94" s="966"/>
      <c r="LI94" s="978"/>
      <c r="LJ94" s="973"/>
      <c r="LK94" s="978"/>
      <c r="LL94" s="973"/>
      <c r="LM94" s="979"/>
      <c r="LN94" s="979"/>
      <c r="LO94" s="966"/>
      <c r="LP94" s="966"/>
      <c r="LQ94" s="980"/>
      <c r="LR94" s="980"/>
      <c r="LS94" s="980"/>
      <c r="LT94" s="966"/>
      <c r="LU94" s="966"/>
      <c r="LV94" s="978"/>
      <c r="LW94" s="973"/>
      <c r="LX94" s="978"/>
      <c r="LY94" s="973"/>
      <c r="LZ94" s="979"/>
      <c r="MA94" s="979"/>
      <c r="MB94" s="966"/>
      <c r="MC94" s="966"/>
      <c r="MD94" s="980"/>
      <c r="ME94" s="980"/>
      <c r="MF94" s="980"/>
      <c r="MG94" s="966"/>
    </row>
    <row r="95" spans="1:345" s="22" customFormat="1">
      <c r="A95" s="193"/>
      <c r="B95" s="196" t="str">
        <f>IF(C95="","",INDEX(Groups!$C$7:$C$65,MATCH(C95,Groups!$D$7:$D$65,0)))</f>
        <v/>
      </c>
      <c r="C95" s="197" t="str">
        <f>'World Cup'!$Q$50</f>
        <v/>
      </c>
      <c r="D95" s="198" t="str">
        <f>IF(E95="","",INDEX(Groups!$C$7:$C$65,MATCH(E95,Groups!$D$7:$D$65,0)))</f>
        <v/>
      </c>
      <c r="E95" s="197" t="str">
        <f>'World Cup'!$R$50</f>
        <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6"/>
      <c r="N95" s="992"/>
      <c r="O95" s="993"/>
      <c r="P95" s="993"/>
      <c r="Q95" s="994">
        <f t="shared" si="55"/>
        <v>0</v>
      </c>
      <c r="R95" s="994">
        <f t="shared" si="56"/>
        <v>0</v>
      </c>
      <c r="S95" s="994"/>
      <c r="T95" s="991" t="str">
        <f t="shared" si="57"/>
        <v/>
      </c>
      <c r="U95" s="966"/>
      <c r="V95" s="978"/>
      <c r="W95" s="973"/>
      <c r="X95" s="978"/>
      <c r="Y95" s="973"/>
      <c r="Z95" s="979"/>
      <c r="AA95" s="979"/>
      <c r="AB95" s="966"/>
      <c r="AC95" s="966"/>
      <c r="AD95" s="980"/>
      <c r="AE95" s="980"/>
      <c r="AF95" s="980"/>
      <c r="AG95" s="966"/>
      <c r="AH95" s="966"/>
      <c r="AI95" s="978"/>
      <c r="AJ95" s="973"/>
      <c r="AK95" s="978"/>
      <c r="AL95" s="973"/>
      <c r="AM95" s="979"/>
      <c r="AN95" s="979"/>
      <c r="AO95" s="966"/>
      <c r="AP95" s="966"/>
      <c r="AQ95" s="980"/>
      <c r="AR95" s="980"/>
      <c r="AS95" s="980"/>
      <c r="AT95" s="966"/>
      <c r="AU95" s="966"/>
      <c r="AV95" s="978"/>
      <c r="AW95" s="973"/>
      <c r="AX95" s="978"/>
      <c r="AY95" s="973"/>
      <c r="AZ95" s="979"/>
      <c r="BA95" s="979"/>
      <c r="BB95" s="966"/>
      <c r="BC95" s="966"/>
      <c r="BD95" s="980"/>
      <c r="BE95" s="980"/>
      <c r="BF95" s="980"/>
      <c r="BG95" s="966"/>
      <c r="BH95" s="966"/>
      <c r="BI95" s="978"/>
      <c r="BJ95" s="973"/>
      <c r="BK95" s="978"/>
      <c r="BL95" s="973"/>
      <c r="BM95" s="979"/>
      <c r="BN95" s="979"/>
      <c r="BO95" s="966"/>
      <c r="BP95" s="966"/>
      <c r="BQ95" s="980"/>
      <c r="BR95" s="980"/>
      <c r="BS95" s="980"/>
      <c r="BT95" s="966"/>
      <c r="BU95" s="966"/>
      <c r="BV95" s="978"/>
      <c r="BW95" s="973"/>
      <c r="BX95" s="978"/>
      <c r="BY95" s="973"/>
      <c r="BZ95" s="979"/>
      <c r="CA95" s="979"/>
      <c r="CB95" s="966"/>
      <c r="CC95" s="966"/>
      <c r="CD95" s="980"/>
      <c r="CE95" s="980"/>
      <c r="CF95" s="980"/>
      <c r="CG95" s="966"/>
      <c r="CH95" s="966"/>
      <c r="CI95" s="978"/>
      <c r="CJ95" s="973"/>
      <c r="CK95" s="978"/>
      <c r="CL95" s="973"/>
      <c r="CM95" s="979"/>
      <c r="CN95" s="979"/>
      <c r="CO95" s="966"/>
      <c r="CP95" s="966"/>
      <c r="CQ95" s="980"/>
      <c r="CR95" s="980"/>
      <c r="CS95" s="980"/>
      <c r="CT95" s="966"/>
      <c r="CU95" s="966"/>
      <c r="CV95" s="978"/>
      <c r="CW95" s="973"/>
      <c r="CX95" s="978"/>
      <c r="CY95" s="973"/>
      <c r="CZ95" s="979"/>
      <c r="DA95" s="979"/>
      <c r="DB95" s="966"/>
      <c r="DC95" s="966"/>
      <c r="DD95" s="980"/>
      <c r="DE95" s="980"/>
      <c r="DF95" s="980"/>
      <c r="DG95" s="966"/>
      <c r="DH95" s="966"/>
      <c r="DI95" s="978"/>
      <c r="DJ95" s="973"/>
      <c r="DK95" s="978"/>
      <c r="DL95" s="973"/>
      <c r="DM95" s="979"/>
      <c r="DN95" s="979"/>
      <c r="DO95" s="966"/>
      <c r="DP95" s="966"/>
      <c r="DQ95" s="980"/>
      <c r="DR95" s="980"/>
      <c r="DS95" s="980"/>
      <c r="DT95" s="966"/>
      <c r="DU95" s="966"/>
      <c r="DV95" s="978"/>
      <c r="DW95" s="973"/>
      <c r="DX95" s="978"/>
      <c r="DY95" s="973"/>
      <c r="DZ95" s="979"/>
      <c r="EA95" s="979"/>
      <c r="EB95" s="966"/>
      <c r="EC95" s="966"/>
      <c r="ED95" s="980"/>
      <c r="EE95" s="980"/>
      <c r="EF95" s="980"/>
      <c r="EG95" s="966"/>
      <c r="EH95" s="966"/>
      <c r="EI95" s="978"/>
      <c r="EJ95" s="973"/>
      <c r="EK95" s="978"/>
      <c r="EL95" s="973"/>
      <c r="EM95" s="979"/>
      <c r="EN95" s="979"/>
      <c r="EO95" s="966"/>
      <c r="EP95" s="966"/>
      <c r="EQ95" s="980"/>
      <c r="ER95" s="980"/>
      <c r="ES95" s="980"/>
      <c r="ET95" s="966"/>
      <c r="EU95" s="966"/>
      <c r="EV95" s="978"/>
      <c r="EW95" s="973"/>
      <c r="EX95" s="978"/>
      <c r="EY95" s="973"/>
      <c r="EZ95" s="979"/>
      <c r="FA95" s="979"/>
      <c r="FB95" s="966"/>
      <c r="FC95" s="966"/>
      <c r="FD95" s="980"/>
      <c r="FE95" s="980"/>
      <c r="FF95" s="980"/>
      <c r="FG95" s="966"/>
      <c r="FH95" s="966"/>
      <c r="FI95" s="978"/>
      <c r="FJ95" s="973"/>
      <c r="FK95" s="978"/>
      <c r="FL95" s="973"/>
      <c r="FM95" s="979"/>
      <c r="FN95" s="979"/>
      <c r="FO95" s="966"/>
      <c r="FP95" s="966"/>
      <c r="FQ95" s="980"/>
      <c r="FR95" s="980"/>
      <c r="FS95" s="980"/>
      <c r="FT95" s="966"/>
      <c r="FU95" s="966"/>
      <c r="FV95" s="978"/>
      <c r="FW95" s="973"/>
      <c r="FX95" s="978"/>
      <c r="FY95" s="973"/>
      <c r="FZ95" s="979"/>
      <c r="GA95" s="979"/>
      <c r="GB95" s="966"/>
      <c r="GC95" s="966"/>
      <c r="GD95" s="980"/>
      <c r="GE95" s="980"/>
      <c r="GF95" s="980"/>
      <c r="GG95" s="966"/>
      <c r="GH95" s="966"/>
      <c r="GI95" s="978"/>
      <c r="GJ95" s="973"/>
      <c r="GK95" s="978"/>
      <c r="GL95" s="973"/>
      <c r="GM95" s="979"/>
      <c r="GN95" s="979"/>
      <c r="GO95" s="966"/>
      <c r="GP95" s="966"/>
      <c r="GQ95" s="980"/>
      <c r="GR95" s="980"/>
      <c r="GS95" s="980"/>
      <c r="GT95" s="966"/>
      <c r="GU95" s="966"/>
      <c r="GV95" s="978"/>
      <c r="GW95" s="973"/>
      <c r="GX95" s="978"/>
      <c r="GY95" s="973"/>
      <c r="GZ95" s="979"/>
      <c r="HA95" s="979"/>
      <c r="HB95" s="966"/>
      <c r="HC95" s="966"/>
      <c r="HD95" s="980"/>
      <c r="HE95" s="980"/>
      <c r="HF95" s="980"/>
      <c r="HG95" s="966"/>
      <c r="HH95" s="966"/>
      <c r="HI95" s="978"/>
      <c r="HJ95" s="973"/>
      <c r="HK95" s="978"/>
      <c r="HL95" s="973"/>
      <c r="HM95" s="979"/>
      <c r="HN95" s="979"/>
      <c r="HO95" s="966"/>
      <c r="HP95" s="966"/>
      <c r="HQ95" s="980"/>
      <c r="HR95" s="980"/>
      <c r="HS95" s="980"/>
      <c r="HT95" s="966"/>
      <c r="HU95" s="966"/>
      <c r="HV95" s="978"/>
      <c r="HW95" s="973"/>
      <c r="HX95" s="978"/>
      <c r="HY95" s="973"/>
      <c r="HZ95" s="979"/>
      <c r="IA95" s="979"/>
      <c r="IB95" s="966"/>
      <c r="IC95" s="966"/>
      <c r="ID95" s="980"/>
      <c r="IE95" s="980"/>
      <c r="IF95" s="980"/>
      <c r="IG95" s="966"/>
      <c r="IH95" s="966"/>
      <c r="II95" s="978"/>
      <c r="IJ95" s="973"/>
      <c r="IK95" s="978"/>
      <c r="IL95" s="973"/>
      <c r="IM95" s="979"/>
      <c r="IN95" s="979"/>
      <c r="IO95" s="966"/>
      <c r="IP95" s="966"/>
      <c r="IQ95" s="980"/>
      <c r="IR95" s="980"/>
      <c r="IS95" s="980"/>
      <c r="IT95" s="966"/>
      <c r="IU95" s="966"/>
      <c r="IV95" s="978"/>
      <c r="IW95" s="973"/>
      <c r="IX95" s="978"/>
      <c r="IY95" s="973"/>
      <c r="IZ95" s="979"/>
      <c r="JA95" s="979"/>
      <c r="JB95" s="966"/>
      <c r="JC95" s="966"/>
      <c r="JD95" s="980"/>
      <c r="JE95" s="980"/>
      <c r="JF95" s="980"/>
      <c r="JG95" s="966"/>
      <c r="JH95" s="966"/>
      <c r="JI95" s="978"/>
      <c r="JJ95" s="973"/>
      <c r="JK95" s="978"/>
      <c r="JL95" s="973"/>
      <c r="JM95" s="979"/>
      <c r="JN95" s="979"/>
      <c r="JO95" s="966"/>
      <c r="JP95" s="966"/>
      <c r="JQ95" s="980"/>
      <c r="JR95" s="980"/>
      <c r="JS95" s="980"/>
      <c r="JT95" s="966"/>
      <c r="JU95" s="966"/>
      <c r="JV95" s="978"/>
      <c r="JW95" s="973"/>
      <c r="JX95" s="978"/>
      <c r="JY95" s="973"/>
      <c r="JZ95" s="979"/>
      <c r="KA95" s="979"/>
      <c r="KB95" s="966"/>
      <c r="KC95" s="966"/>
      <c r="KD95" s="980"/>
      <c r="KE95" s="980"/>
      <c r="KF95" s="980"/>
      <c r="KG95" s="966"/>
      <c r="KH95" s="966"/>
      <c r="KI95" s="978"/>
      <c r="KJ95" s="973"/>
      <c r="KK95" s="978"/>
      <c r="KL95" s="973"/>
      <c r="KM95" s="979"/>
      <c r="KN95" s="979"/>
      <c r="KO95" s="966"/>
      <c r="KP95" s="966"/>
      <c r="KQ95" s="980"/>
      <c r="KR95" s="980"/>
      <c r="KS95" s="980"/>
      <c r="KT95" s="966"/>
      <c r="KU95" s="966"/>
      <c r="KV95" s="978"/>
      <c r="KW95" s="973"/>
      <c r="KX95" s="978"/>
      <c r="KY95" s="973"/>
      <c r="KZ95" s="979"/>
      <c r="LA95" s="979"/>
      <c r="LB95" s="966"/>
      <c r="LC95" s="966"/>
      <c r="LD95" s="980"/>
      <c r="LE95" s="980"/>
      <c r="LF95" s="980"/>
      <c r="LG95" s="966"/>
      <c r="LH95" s="966"/>
      <c r="LI95" s="978"/>
      <c r="LJ95" s="973"/>
      <c r="LK95" s="978"/>
      <c r="LL95" s="973"/>
      <c r="LM95" s="979"/>
      <c r="LN95" s="979"/>
      <c r="LO95" s="966"/>
      <c r="LP95" s="966"/>
      <c r="LQ95" s="980"/>
      <c r="LR95" s="980"/>
      <c r="LS95" s="980"/>
      <c r="LT95" s="966"/>
      <c r="LU95" s="966"/>
      <c r="LV95" s="978"/>
      <c r="LW95" s="973"/>
      <c r="LX95" s="978"/>
      <c r="LY95" s="973"/>
      <c r="LZ95" s="979"/>
      <c r="MA95" s="979"/>
      <c r="MB95" s="966"/>
      <c r="MC95" s="966"/>
      <c r="MD95" s="980"/>
      <c r="ME95" s="980"/>
      <c r="MF95" s="980"/>
      <c r="MG95" s="966"/>
    </row>
    <row r="96" spans="1:345" s="22" customFormat="1">
      <c r="A96" s="193"/>
      <c r="B96" s="196" t="str">
        <f>IF(C96="","",INDEX(Groups!$C$7:$C$65,MATCH(C96,Groups!$D$7:$D$65,0)))</f>
        <v/>
      </c>
      <c r="C96" s="197" t="str">
        <f>'World Cup'!$T$50</f>
        <v/>
      </c>
      <c r="D96" s="198" t="str">
        <f>IF(E96="","",INDEX(Groups!$C$7:$C$65,MATCH(E96,Groups!$D$7:$D$65,0)))</f>
        <v/>
      </c>
      <c r="E96" s="197" t="str">
        <f>'World Cup'!$U$50</f>
        <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6"/>
      <c r="N96" s="992"/>
      <c r="O96" s="993"/>
      <c r="P96" s="993"/>
      <c r="Q96" s="994">
        <f t="shared" si="55"/>
        <v>0</v>
      </c>
      <c r="R96" s="994">
        <f t="shared" si="56"/>
        <v>0</v>
      </c>
      <c r="S96" s="994"/>
      <c r="T96" s="991" t="str">
        <f t="shared" si="57"/>
        <v/>
      </c>
      <c r="U96" s="966"/>
      <c r="V96" s="978"/>
      <c r="W96" s="973"/>
      <c r="X96" s="978"/>
      <c r="Y96" s="973"/>
      <c r="Z96" s="979"/>
      <c r="AA96" s="979"/>
      <c r="AB96" s="966"/>
      <c r="AC96" s="966"/>
      <c r="AD96" s="980"/>
      <c r="AE96" s="980"/>
      <c r="AF96" s="980"/>
      <c r="AG96" s="966"/>
      <c r="AH96" s="966"/>
      <c r="AI96" s="978"/>
      <c r="AJ96" s="973"/>
      <c r="AK96" s="978"/>
      <c r="AL96" s="973"/>
      <c r="AM96" s="979"/>
      <c r="AN96" s="979"/>
      <c r="AO96" s="966"/>
      <c r="AP96" s="966"/>
      <c r="AQ96" s="980"/>
      <c r="AR96" s="980"/>
      <c r="AS96" s="980"/>
      <c r="AT96" s="966"/>
      <c r="AU96" s="966"/>
      <c r="AV96" s="978"/>
      <c r="AW96" s="973"/>
      <c r="AX96" s="978"/>
      <c r="AY96" s="973"/>
      <c r="AZ96" s="979"/>
      <c r="BA96" s="979"/>
      <c r="BB96" s="966"/>
      <c r="BC96" s="966"/>
      <c r="BD96" s="980"/>
      <c r="BE96" s="980"/>
      <c r="BF96" s="980"/>
      <c r="BG96" s="966"/>
      <c r="BH96" s="966"/>
      <c r="BI96" s="978"/>
      <c r="BJ96" s="973"/>
      <c r="BK96" s="978"/>
      <c r="BL96" s="973"/>
      <c r="BM96" s="979"/>
      <c r="BN96" s="979"/>
      <c r="BO96" s="966"/>
      <c r="BP96" s="966"/>
      <c r="BQ96" s="980"/>
      <c r="BR96" s="980"/>
      <c r="BS96" s="980"/>
      <c r="BT96" s="966"/>
      <c r="BU96" s="966"/>
      <c r="BV96" s="978"/>
      <c r="BW96" s="973"/>
      <c r="BX96" s="978"/>
      <c r="BY96" s="973"/>
      <c r="BZ96" s="979"/>
      <c r="CA96" s="979"/>
      <c r="CB96" s="966"/>
      <c r="CC96" s="966"/>
      <c r="CD96" s="980"/>
      <c r="CE96" s="980"/>
      <c r="CF96" s="980"/>
      <c r="CG96" s="966"/>
      <c r="CH96" s="966"/>
      <c r="CI96" s="978"/>
      <c r="CJ96" s="973"/>
      <c r="CK96" s="978"/>
      <c r="CL96" s="973"/>
      <c r="CM96" s="979"/>
      <c r="CN96" s="979"/>
      <c r="CO96" s="966"/>
      <c r="CP96" s="966"/>
      <c r="CQ96" s="980"/>
      <c r="CR96" s="980"/>
      <c r="CS96" s="980"/>
      <c r="CT96" s="966"/>
      <c r="CU96" s="966"/>
      <c r="CV96" s="978"/>
      <c r="CW96" s="973"/>
      <c r="CX96" s="978"/>
      <c r="CY96" s="973"/>
      <c r="CZ96" s="979"/>
      <c r="DA96" s="979"/>
      <c r="DB96" s="966"/>
      <c r="DC96" s="966"/>
      <c r="DD96" s="980"/>
      <c r="DE96" s="980"/>
      <c r="DF96" s="980"/>
      <c r="DG96" s="966"/>
      <c r="DH96" s="966"/>
      <c r="DI96" s="978"/>
      <c r="DJ96" s="973"/>
      <c r="DK96" s="978"/>
      <c r="DL96" s="973"/>
      <c r="DM96" s="979"/>
      <c r="DN96" s="979"/>
      <c r="DO96" s="966"/>
      <c r="DP96" s="966"/>
      <c r="DQ96" s="980"/>
      <c r="DR96" s="980"/>
      <c r="DS96" s="980"/>
      <c r="DT96" s="966"/>
      <c r="DU96" s="966"/>
      <c r="DV96" s="978"/>
      <c r="DW96" s="973"/>
      <c r="DX96" s="978"/>
      <c r="DY96" s="973"/>
      <c r="DZ96" s="979"/>
      <c r="EA96" s="979"/>
      <c r="EB96" s="966"/>
      <c r="EC96" s="966"/>
      <c r="ED96" s="980"/>
      <c r="EE96" s="980"/>
      <c r="EF96" s="980"/>
      <c r="EG96" s="966"/>
      <c r="EH96" s="966"/>
      <c r="EI96" s="978"/>
      <c r="EJ96" s="973"/>
      <c r="EK96" s="978"/>
      <c r="EL96" s="973"/>
      <c r="EM96" s="979"/>
      <c r="EN96" s="979"/>
      <c r="EO96" s="966"/>
      <c r="EP96" s="966"/>
      <c r="EQ96" s="980"/>
      <c r="ER96" s="980"/>
      <c r="ES96" s="980"/>
      <c r="ET96" s="966"/>
      <c r="EU96" s="966"/>
      <c r="EV96" s="978"/>
      <c r="EW96" s="973"/>
      <c r="EX96" s="978"/>
      <c r="EY96" s="973"/>
      <c r="EZ96" s="979"/>
      <c r="FA96" s="979"/>
      <c r="FB96" s="966"/>
      <c r="FC96" s="966"/>
      <c r="FD96" s="980"/>
      <c r="FE96" s="980"/>
      <c r="FF96" s="980"/>
      <c r="FG96" s="966"/>
      <c r="FH96" s="966"/>
      <c r="FI96" s="978"/>
      <c r="FJ96" s="973"/>
      <c r="FK96" s="978"/>
      <c r="FL96" s="973"/>
      <c r="FM96" s="979"/>
      <c r="FN96" s="979"/>
      <c r="FO96" s="966"/>
      <c r="FP96" s="966"/>
      <c r="FQ96" s="980"/>
      <c r="FR96" s="980"/>
      <c r="FS96" s="980"/>
      <c r="FT96" s="966"/>
      <c r="FU96" s="966"/>
      <c r="FV96" s="978"/>
      <c r="FW96" s="973"/>
      <c r="FX96" s="978"/>
      <c r="FY96" s="973"/>
      <c r="FZ96" s="979"/>
      <c r="GA96" s="979"/>
      <c r="GB96" s="966"/>
      <c r="GC96" s="966"/>
      <c r="GD96" s="980"/>
      <c r="GE96" s="980"/>
      <c r="GF96" s="980"/>
      <c r="GG96" s="966"/>
      <c r="GH96" s="966"/>
      <c r="GI96" s="978"/>
      <c r="GJ96" s="973"/>
      <c r="GK96" s="978"/>
      <c r="GL96" s="973"/>
      <c r="GM96" s="979"/>
      <c r="GN96" s="979"/>
      <c r="GO96" s="966"/>
      <c r="GP96" s="966"/>
      <c r="GQ96" s="980"/>
      <c r="GR96" s="980"/>
      <c r="GS96" s="980"/>
      <c r="GT96" s="966"/>
      <c r="GU96" s="966"/>
      <c r="GV96" s="978"/>
      <c r="GW96" s="973"/>
      <c r="GX96" s="978"/>
      <c r="GY96" s="973"/>
      <c r="GZ96" s="979"/>
      <c r="HA96" s="979"/>
      <c r="HB96" s="966"/>
      <c r="HC96" s="966"/>
      <c r="HD96" s="980"/>
      <c r="HE96" s="980"/>
      <c r="HF96" s="980"/>
      <c r="HG96" s="966"/>
      <c r="HH96" s="966"/>
      <c r="HI96" s="978"/>
      <c r="HJ96" s="973"/>
      <c r="HK96" s="978"/>
      <c r="HL96" s="973"/>
      <c r="HM96" s="979"/>
      <c r="HN96" s="979"/>
      <c r="HO96" s="966"/>
      <c r="HP96" s="966"/>
      <c r="HQ96" s="980"/>
      <c r="HR96" s="980"/>
      <c r="HS96" s="980"/>
      <c r="HT96" s="966"/>
      <c r="HU96" s="966"/>
      <c r="HV96" s="978"/>
      <c r="HW96" s="973"/>
      <c r="HX96" s="978"/>
      <c r="HY96" s="973"/>
      <c r="HZ96" s="979"/>
      <c r="IA96" s="979"/>
      <c r="IB96" s="966"/>
      <c r="IC96" s="966"/>
      <c r="ID96" s="980"/>
      <c r="IE96" s="980"/>
      <c r="IF96" s="980"/>
      <c r="IG96" s="966"/>
      <c r="IH96" s="966"/>
      <c r="II96" s="978"/>
      <c r="IJ96" s="973"/>
      <c r="IK96" s="978"/>
      <c r="IL96" s="973"/>
      <c r="IM96" s="979"/>
      <c r="IN96" s="979"/>
      <c r="IO96" s="966"/>
      <c r="IP96" s="966"/>
      <c r="IQ96" s="980"/>
      <c r="IR96" s="980"/>
      <c r="IS96" s="980"/>
      <c r="IT96" s="966"/>
      <c r="IU96" s="966"/>
      <c r="IV96" s="978"/>
      <c r="IW96" s="973"/>
      <c r="IX96" s="978"/>
      <c r="IY96" s="973"/>
      <c r="IZ96" s="979"/>
      <c r="JA96" s="979"/>
      <c r="JB96" s="966"/>
      <c r="JC96" s="966"/>
      <c r="JD96" s="980"/>
      <c r="JE96" s="980"/>
      <c r="JF96" s="980"/>
      <c r="JG96" s="966"/>
      <c r="JH96" s="966"/>
      <c r="JI96" s="978"/>
      <c r="JJ96" s="973"/>
      <c r="JK96" s="978"/>
      <c r="JL96" s="973"/>
      <c r="JM96" s="979"/>
      <c r="JN96" s="979"/>
      <c r="JO96" s="966"/>
      <c r="JP96" s="966"/>
      <c r="JQ96" s="980"/>
      <c r="JR96" s="980"/>
      <c r="JS96" s="980"/>
      <c r="JT96" s="966"/>
      <c r="JU96" s="966"/>
      <c r="JV96" s="978"/>
      <c r="JW96" s="973"/>
      <c r="JX96" s="978"/>
      <c r="JY96" s="973"/>
      <c r="JZ96" s="979"/>
      <c r="KA96" s="979"/>
      <c r="KB96" s="966"/>
      <c r="KC96" s="966"/>
      <c r="KD96" s="980"/>
      <c r="KE96" s="980"/>
      <c r="KF96" s="980"/>
      <c r="KG96" s="966"/>
      <c r="KH96" s="966"/>
      <c r="KI96" s="978"/>
      <c r="KJ96" s="973"/>
      <c r="KK96" s="978"/>
      <c r="KL96" s="973"/>
      <c r="KM96" s="979"/>
      <c r="KN96" s="979"/>
      <c r="KO96" s="966"/>
      <c r="KP96" s="966"/>
      <c r="KQ96" s="980"/>
      <c r="KR96" s="980"/>
      <c r="KS96" s="980"/>
      <c r="KT96" s="966"/>
      <c r="KU96" s="966"/>
      <c r="KV96" s="978"/>
      <c r="KW96" s="973"/>
      <c r="KX96" s="978"/>
      <c r="KY96" s="973"/>
      <c r="KZ96" s="979"/>
      <c r="LA96" s="979"/>
      <c r="LB96" s="966"/>
      <c r="LC96" s="966"/>
      <c r="LD96" s="980"/>
      <c r="LE96" s="980"/>
      <c r="LF96" s="980"/>
      <c r="LG96" s="966"/>
      <c r="LH96" s="966"/>
      <c r="LI96" s="978"/>
      <c r="LJ96" s="973"/>
      <c r="LK96" s="978"/>
      <c r="LL96" s="973"/>
      <c r="LM96" s="979"/>
      <c r="LN96" s="979"/>
      <c r="LO96" s="966"/>
      <c r="LP96" s="966"/>
      <c r="LQ96" s="980"/>
      <c r="LR96" s="980"/>
      <c r="LS96" s="980"/>
      <c r="LT96" s="966"/>
      <c r="LU96" s="966"/>
      <c r="LV96" s="978"/>
      <c r="LW96" s="973"/>
      <c r="LX96" s="978"/>
      <c r="LY96" s="973"/>
      <c r="LZ96" s="979"/>
      <c r="MA96" s="979"/>
      <c r="MB96" s="966"/>
      <c r="MC96" s="966"/>
      <c r="MD96" s="980"/>
      <c r="ME96" s="980"/>
      <c r="MF96" s="980"/>
      <c r="MG96" s="966"/>
    </row>
    <row r="97" spans="1:345" s="22" customFormat="1">
      <c r="A97" s="193"/>
      <c r="B97" s="196" t="str">
        <f>IF(C97="","",INDEX(Groups!$C$7:$C$65,MATCH(C97,Groups!$D$7:$D$65,0)))</f>
        <v/>
      </c>
      <c r="C97" s="197" t="str">
        <f>'World Cup'!$W$50</f>
        <v/>
      </c>
      <c r="D97" s="198" t="str">
        <f>IF(E97="","",INDEX(Groups!$C$7:$C$65,MATCH(E97,Groups!$D$7:$D$65,0)))</f>
        <v/>
      </c>
      <c r="E97" s="197" t="str">
        <f>'World Cup'!$X$50</f>
        <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6"/>
      <c r="N97" s="992"/>
      <c r="O97" s="993"/>
      <c r="P97" s="993"/>
      <c r="Q97" s="994">
        <f t="shared" si="55"/>
        <v>0</v>
      </c>
      <c r="R97" s="994">
        <f t="shared" si="56"/>
        <v>0</v>
      </c>
      <c r="S97" s="994"/>
      <c r="T97" s="991" t="str">
        <f t="shared" si="57"/>
        <v/>
      </c>
      <c r="U97" s="966"/>
      <c r="V97" s="978"/>
      <c r="W97" s="973"/>
      <c r="X97" s="978"/>
      <c r="Y97" s="973"/>
      <c r="Z97" s="979"/>
      <c r="AA97" s="979"/>
      <c r="AB97" s="966"/>
      <c r="AC97" s="966"/>
      <c r="AD97" s="980"/>
      <c r="AE97" s="980"/>
      <c r="AF97" s="980"/>
      <c r="AG97" s="966"/>
      <c r="AH97" s="966"/>
      <c r="AI97" s="978"/>
      <c r="AJ97" s="973"/>
      <c r="AK97" s="978"/>
      <c r="AL97" s="973"/>
      <c r="AM97" s="979"/>
      <c r="AN97" s="979"/>
      <c r="AO97" s="966"/>
      <c r="AP97" s="966"/>
      <c r="AQ97" s="980"/>
      <c r="AR97" s="980"/>
      <c r="AS97" s="980"/>
      <c r="AT97" s="966"/>
      <c r="AU97" s="966"/>
      <c r="AV97" s="978"/>
      <c r="AW97" s="973"/>
      <c r="AX97" s="978"/>
      <c r="AY97" s="973"/>
      <c r="AZ97" s="979"/>
      <c r="BA97" s="979"/>
      <c r="BB97" s="966"/>
      <c r="BC97" s="966"/>
      <c r="BD97" s="980"/>
      <c r="BE97" s="980"/>
      <c r="BF97" s="980"/>
      <c r="BG97" s="966"/>
      <c r="BH97" s="966"/>
      <c r="BI97" s="978"/>
      <c r="BJ97" s="973"/>
      <c r="BK97" s="978"/>
      <c r="BL97" s="973"/>
      <c r="BM97" s="979"/>
      <c r="BN97" s="979"/>
      <c r="BO97" s="966"/>
      <c r="BP97" s="966"/>
      <c r="BQ97" s="980"/>
      <c r="BR97" s="980"/>
      <c r="BS97" s="980"/>
      <c r="BT97" s="966"/>
      <c r="BU97" s="966"/>
      <c r="BV97" s="978"/>
      <c r="BW97" s="973"/>
      <c r="BX97" s="978"/>
      <c r="BY97" s="973"/>
      <c r="BZ97" s="979"/>
      <c r="CA97" s="979"/>
      <c r="CB97" s="966"/>
      <c r="CC97" s="966"/>
      <c r="CD97" s="980"/>
      <c r="CE97" s="980"/>
      <c r="CF97" s="980"/>
      <c r="CG97" s="966"/>
      <c r="CH97" s="966"/>
      <c r="CI97" s="978"/>
      <c r="CJ97" s="973"/>
      <c r="CK97" s="978"/>
      <c r="CL97" s="973"/>
      <c r="CM97" s="979"/>
      <c r="CN97" s="979"/>
      <c r="CO97" s="966"/>
      <c r="CP97" s="966"/>
      <c r="CQ97" s="980"/>
      <c r="CR97" s="980"/>
      <c r="CS97" s="980"/>
      <c r="CT97" s="966"/>
      <c r="CU97" s="966"/>
      <c r="CV97" s="978"/>
      <c r="CW97" s="973"/>
      <c r="CX97" s="978"/>
      <c r="CY97" s="973"/>
      <c r="CZ97" s="979"/>
      <c r="DA97" s="979"/>
      <c r="DB97" s="966"/>
      <c r="DC97" s="966"/>
      <c r="DD97" s="980"/>
      <c r="DE97" s="980"/>
      <c r="DF97" s="980"/>
      <c r="DG97" s="966"/>
      <c r="DH97" s="966"/>
      <c r="DI97" s="978"/>
      <c r="DJ97" s="973"/>
      <c r="DK97" s="978"/>
      <c r="DL97" s="973"/>
      <c r="DM97" s="979"/>
      <c r="DN97" s="979"/>
      <c r="DO97" s="966"/>
      <c r="DP97" s="966"/>
      <c r="DQ97" s="980"/>
      <c r="DR97" s="980"/>
      <c r="DS97" s="980"/>
      <c r="DT97" s="966"/>
      <c r="DU97" s="966"/>
      <c r="DV97" s="978"/>
      <c r="DW97" s="973"/>
      <c r="DX97" s="978"/>
      <c r="DY97" s="973"/>
      <c r="DZ97" s="979"/>
      <c r="EA97" s="979"/>
      <c r="EB97" s="966"/>
      <c r="EC97" s="966"/>
      <c r="ED97" s="980"/>
      <c r="EE97" s="980"/>
      <c r="EF97" s="980"/>
      <c r="EG97" s="966"/>
      <c r="EH97" s="966"/>
      <c r="EI97" s="978"/>
      <c r="EJ97" s="973"/>
      <c r="EK97" s="978"/>
      <c r="EL97" s="973"/>
      <c r="EM97" s="979"/>
      <c r="EN97" s="979"/>
      <c r="EO97" s="966"/>
      <c r="EP97" s="966"/>
      <c r="EQ97" s="980"/>
      <c r="ER97" s="980"/>
      <c r="ES97" s="980"/>
      <c r="ET97" s="966"/>
      <c r="EU97" s="966"/>
      <c r="EV97" s="978"/>
      <c r="EW97" s="973"/>
      <c r="EX97" s="978"/>
      <c r="EY97" s="973"/>
      <c r="EZ97" s="979"/>
      <c r="FA97" s="979"/>
      <c r="FB97" s="966"/>
      <c r="FC97" s="966"/>
      <c r="FD97" s="980"/>
      <c r="FE97" s="980"/>
      <c r="FF97" s="980"/>
      <c r="FG97" s="966"/>
      <c r="FH97" s="966"/>
      <c r="FI97" s="978"/>
      <c r="FJ97" s="973"/>
      <c r="FK97" s="978"/>
      <c r="FL97" s="973"/>
      <c r="FM97" s="979"/>
      <c r="FN97" s="979"/>
      <c r="FO97" s="966"/>
      <c r="FP97" s="966"/>
      <c r="FQ97" s="980"/>
      <c r="FR97" s="980"/>
      <c r="FS97" s="980"/>
      <c r="FT97" s="966"/>
      <c r="FU97" s="966"/>
      <c r="FV97" s="978"/>
      <c r="FW97" s="973"/>
      <c r="FX97" s="978"/>
      <c r="FY97" s="973"/>
      <c r="FZ97" s="979"/>
      <c r="GA97" s="979"/>
      <c r="GB97" s="966"/>
      <c r="GC97" s="966"/>
      <c r="GD97" s="980"/>
      <c r="GE97" s="980"/>
      <c r="GF97" s="980"/>
      <c r="GG97" s="966"/>
      <c r="GH97" s="966"/>
      <c r="GI97" s="978"/>
      <c r="GJ97" s="973"/>
      <c r="GK97" s="978"/>
      <c r="GL97" s="973"/>
      <c r="GM97" s="979"/>
      <c r="GN97" s="979"/>
      <c r="GO97" s="966"/>
      <c r="GP97" s="966"/>
      <c r="GQ97" s="980"/>
      <c r="GR97" s="980"/>
      <c r="GS97" s="980"/>
      <c r="GT97" s="966"/>
      <c r="GU97" s="966"/>
      <c r="GV97" s="978"/>
      <c r="GW97" s="973"/>
      <c r="GX97" s="978"/>
      <c r="GY97" s="973"/>
      <c r="GZ97" s="979"/>
      <c r="HA97" s="979"/>
      <c r="HB97" s="966"/>
      <c r="HC97" s="966"/>
      <c r="HD97" s="980"/>
      <c r="HE97" s="980"/>
      <c r="HF97" s="980"/>
      <c r="HG97" s="966"/>
      <c r="HH97" s="966"/>
      <c r="HI97" s="978"/>
      <c r="HJ97" s="973"/>
      <c r="HK97" s="978"/>
      <c r="HL97" s="973"/>
      <c r="HM97" s="979"/>
      <c r="HN97" s="979"/>
      <c r="HO97" s="966"/>
      <c r="HP97" s="966"/>
      <c r="HQ97" s="980"/>
      <c r="HR97" s="980"/>
      <c r="HS97" s="980"/>
      <c r="HT97" s="966"/>
      <c r="HU97" s="966"/>
      <c r="HV97" s="978"/>
      <c r="HW97" s="973"/>
      <c r="HX97" s="978"/>
      <c r="HY97" s="973"/>
      <c r="HZ97" s="979"/>
      <c r="IA97" s="979"/>
      <c r="IB97" s="966"/>
      <c r="IC97" s="966"/>
      <c r="ID97" s="980"/>
      <c r="IE97" s="980"/>
      <c r="IF97" s="980"/>
      <c r="IG97" s="966"/>
      <c r="IH97" s="966"/>
      <c r="II97" s="978"/>
      <c r="IJ97" s="973"/>
      <c r="IK97" s="978"/>
      <c r="IL97" s="973"/>
      <c r="IM97" s="979"/>
      <c r="IN97" s="979"/>
      <c r="IO97" s="966"/>
      <c r="IP97" s="966"/>
      <c r="IQ97" s="980"/>
      <c r="IR97" s="980"/>
      <c r="IS97" s="980"/>
      <c r="IT97" s="966"/>
      <c r="IU97" s="966"/>
      <c r="IV97" s="978"/>
      <c r="IW97" s="973"/>
      <c r="IX97" s="978"/>
      <c r="IY97" s="973"/>
      <c r="IZ97" s="979"/>
      <c r="JA97" s="979"/>
      <c r="JB97" s="966"/>
      <c r="JC97" s="966"/>
      <c r="JD97" s="980"/>
      <c r="JE97" s="980"/>
      <c r="JF97" s="980"/>
      <c r="JG97" s="966"/>
      <c r="JH97" s="966"/>
      <c r="JI97" s="978"/>
      <c r="JJ97" s="973"/>
      <c r="JK97" s="978"/>
      <c r="JL97" s="973"/>
      <c r="JM97" s="979"/>
      <c r="JN97" s="979"/>
      <c r="JO97" s="966"/>
      <c r="JP97" s="966"/>
      <c r="JQ97" s="980"/>
      <c r="JR97" s="980"/>
      <c r="JS97" s="980"/>
      <c r="JT97" s="966"/>
      <c r="JU97" s="966"/>
      <c r="JV97" s="978"/>
      <c r="JW97" s="973"/>
      <c r="JX97" s="978"/>
      <c r="JY97" s="973"/>
      <c r="JZ97" s="979"/>
      <c r="KA97" s="979"/>
      <c r="KB97" s="966"/>
      <c r="KC97" s="966"/>
      <c r="KD97" s="980"/>
      <c r="KE97" s="980"/>
      <c r="KF97" s="980"/>
      <c r="KG97" s="966"/>
      <c r="KH97" s="966"/>
      <c r="KI97" s="978"/>
      <c r="KJ97" s="973"/>
      <c r="KK97" s="978"/>
      <c r="KL97" s="973"/>
      <c r="KM97" s="979"/>
      <c r="KN97" s="979"/>
      <c r="KO97" s="966"/>
      <c r="KP97" s="966"/>
      <c r="KQ97" s="980"/>
      <c r="KR97" s="980"/>
      <c r="KS97" s="980"/>
      <c r="KT97" s="966"/>
      <c r="KU97" s="966"/>
      <c r="KV97" s="978"/>
      <c r="KW97" s="973"/>
      <c r="KX97" s="978"/>
      <c r="KY97" s="973"/>
      <c r="KZ97" s="979"/>
      <c r="LA97" s="979"/>
      <c r="LB97" s="966"/>
      <c r="LC97" s="966"/>
      <c r="LD97" s="980"/>
      <c r="LE97" s="980"/>
      <c r="LF97" s="980"/>
      <c r="LG97" s="966"/>
      <c r="LH97" s="966"/>
      <c r="LI97" s="978"/>
      <c r="LJ97" s="973"/>
      <c r="LK97" s="978"/>
      <c r="LL97" s="973"/>
      <c r="LM97" s="979"/>
      <c r="LN97" s="979"/>
      <c r="LO97" s="966"/>
      <c r="LP97" s="966"/>
      <c r="LQ97" s="980"/>
      <c r="LR97" s="980"/>
      <c r="LS97" s="980"/>
      <c r="LT97" s="966"/>
      <c r="LU97" s="966"/>
      <c r="LV97" s="978"/>
      <c r="LW97" s="973"/>
      <c r="LX97" s="978"/>
      <c r="LY97" s="973"/>
      <c r="LZ97" s="979"/>
      <c r="MA97" s="979"/>
      <c r="MB97" s="966"/>
      <c r="MC97" s="966"/>
      <c r="MD97" s="980"/>
      <c r="ME97" s="980"/>
      <c r="MF97" s="980"/>
      <c r="MG97" s="966"/>
    </row>
    <row r="98" spans="1:345" s="22" customFormat="1">
      <c r="A98" s="193"/>
      <c r="B98" s="196" t="str">
        <f>IF(C98="","",INDEX(Groups!$C$7:$C$65,MATCH(C98,Groups!$D$7:$D$65,0)))</f>
        <v/>
      </c>
      <c r="C98" s="197" t="str">
        <f>'World Cup'!$Z$50</f>
        <v/>
      </c>
      <c r="D98" s="198" t="str">
        <f>IF(E98="","",INDEX(Groups!$C$7:$C$65,MATCH(E98,Groups!$D$7:$D$65,0)))</f>
        <v/>
      </c>
      <c r="E98" s="197" t="str">
        <f>'World Cup'!$AA$50</f>
        <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6"/>
      <c r="N98" s="992"/>
      <c r="O98" s="993"/>
      <c r="P98" s="993"/>
      <c r="Q98" s="994">
        <f t="shared" si="55"/>
        <v>0</v>
      </c>
      <c r="R98" s="994">
        <f t="shared" si="56"/>
        <v>0</v>
      </c>
      <c r="S98" s="994"/>
      <c r="T98" s="991" t="str">
        <f t="shared" si="57"/>
        <v/>
      </c>
      <c r="U98" s="966"/>
      <c r="V98" s="978"/>
      <c r="W98" s="973"/>
      <c r="X98" s="978"/>
      <c r="Y98" s="973"/>
      <c r="Z98" s="979"/>
      <c r="AA98" s="979"/>
      <c r="AB98" s="966"/>
      <c r="AC98" s="966"/>
      <c r="AD98" s="980"/>
      <c r="AE98" s="980"/>
      <c r="AF98" s="980"/>
      <c r="AG98" s="966"/>
      <c r="AH98" s="966"/>
      <c r="AI98" s="978"/>
      <c r="AJ98" s="973"/>
      <c r="AK98" s="978"/>
      <c r="AL98" s="973"/>
      <c r="AM98" s="979"/>
      <c r="AN98" s="979"/>
      <c r="AO98" s="966"/>
      <c r="AP98" s="966"/>
      <c r="AQ98" s="980"/>
      <c r="AR98" s="980"/>
      <c r="AS98" s="980"/>
      <c r="AT98" s="966"/>
      <c r="AU98" s="966"/>
      <c r="AV98" s="978"/>
      <c r="AW98" s="973"/>
      <c r="AX98" s="978"/>
      <c r="AY98" s="973"/>
      <c r="AZ98" s="979"/>
      <c r="BA98" s="979"/>
      <c r="BB98" s="966"/>
      <c r="BC98" s="966"/>
      <c r="BD98" s="980"/>
      <c r="BE98" s="980"/>
      <c r="BF98" s="980"/>
      <c r="BG98" s="966"/>
      <c r="BH98" s="966"/>
      <c r="BI98" s="978"/>
      <c r="BJ98" s="973"/>
      <c r="BK98" s="978"/>
      <c r="BL98" s="973"/>
      <c r="BM98" s="979"/>
      <c r="BN98" s="979"/>
      <c r="BO98" s="966"/>
      <c r="BP98" s="966"/>
      <c r="BQ98" s="980"/>
      <c r="BR98" s="980"/>
      <c r="BS98" s="980"/>
      <c r="BT98" s="966"/>
      <c r="BU98" s="966"/>
      <c r="BV98" s="978"/>
      <c r="BW98" s="973"/>
      <c r="BX98" s="978"/>
      <c r="BY98" s="973"/>
      <c r="BZ98" s="979"/>
      <c r="CA98" s="979"/>
      <c r="CB98" s="966"/>
      <c r="CC98" s="966"/>
      <c r="CD98" s="980"/>
      <c r="CE98" s="980"/>
      <c r="CF98" s="980"/>
      <c r="CG98" s="966"/>
      <c r="CH98" s="966"/>
      <c r="CI98" s="978"/>
      <c r="CJ98" s="973"/>
      <c r="CK98" s="978"/>
      <c r="CL98" s="973"/>
      <c r="CM98" s="979"/>
      <c r="CN98" s="979"/>
      <c r="CO98" s="966"/>
      <c r="CP98" s="966"/>
      <c r="CQ98" s="980"/>
      <c r="CR98" s="980"/>
      <c r="CS98" s="980"/>
      <c r="CT98" s="966"/>
      <c r="CU98" s="966"/>
      <c r="CV98" s="978"/>
      <c r="CW98" s="973"/>
      <c r="CX98" s="978"/>
      <c r="CY98" s="973"/>
      <c r="CZ98" s="979"/>
      <c r="DA98" s="979"/>
      <c r="DB98" s="966"/>
      <c r="DC98" s="966"/>
      <c r="DD98" s="980"/>
      <c r="DE98" s="980"/>
      <c r="DF98" s="980"/>
      <c r="DG98" s="966"/>
      <c r="DH98" s="966"/>
      <c r="DI98" s="978"/>
      <c r="DJ98" s="973"/>
      <c r="DK98" s="978"/>
      <c r="DL98" s="973"/>
      <c r="DM98" s="979"/>
      <c r="DN98" s="979"/>
      <c r="DO98" s="966"/>
      <c r="DP98" s="966"/>
      <c r="DQ98" s="980"/>
      <c r="DR98" s="980"/>
      <c r="DS98" s="980"/>
      <c r="DT98" s="966"/>
      <c r="DU98" s="966"/>
      <c r="DV98" s="978"/>
      <c r="DW98" s="973"/>
      <c r="DX98" s="978"/>
      <c r="DY98" s="973"/>
      <c r="DZ98" s="979"/>
      <c r="EA98" s="979"/>
      <c r="EB98" s="966"/>
      <c r="EC98" s="966"/>
      <c r="ED98" s="980"/>
      <c r="EE98" s="980"/>
      <c r="EF98" s="980"/>
      <c r="EG98" s="966"/>
      <c r="EH98" s="966"/>
      <c r="EI98" s="978"/>
      <c r="EJ98" s="973"/>
      <c r="EK98" s="978"/>
      <c r="EL98" s="973"/>
      <c r="EM98" s="979"/>
      <c r="EN98" s="979"/>
      <c r="EO98" s="966"/>
      <c r="EP98" s="966"/>
      <c r="EQ98" s="980"/>
      <c r="ER98" s="980"/>
      <c r="ES98" s="980"/>
      <c r="ET98" s="966"/>
      <c r="EU98" s="966"/>
      <c r="EV98" s="978"/>
      <c r="EW98" s="973"/>
      <c r="EX98" s="978"/>
      <c r="EY98" s="973"/>
      <c r="EZ98" s="979"/>
      <c r="FA98" s="979"/>
      <c r="FB98" s="966"/>
      <c r="FC98" s="966"/>
      <c r="FD98" s="980"/>
      <c r="FE98" s="980"/>
      <c r="FF98" s="980"/>
      <c r="FG98" s="966"/>
      <c r="FH98" s="966"/>
      <c r="FI98" s="978"/>
      <c r="FJ98" s="973"/>
      <c r="FK98" s="978"/>
      <c r="FL98" s="973"/>
      <c r="FM98" s="979"/>
      <c r="FN98" s="979"/>
      <c r="FO98" s="966"/>
      <c r="FP98" s="966"/>
      <c r="FQ98" s="980"/>
      <c r="FR98" s="980"/>
      <c r="FS98" s="980"/>
      <c r="FT98" s="966"/>
      <c r="FU98" s="966"/>
      <c r="FV98" s="978"/>
      <c r="FW98" s="973"/>
      <c r="FX98" s="978"/>
      <c r="FY98" s="973"/>
      <c r="FZ98" s="979"/>
      <c r="GA98" s="979"/>
      <c r="GB98" s="966"/>
      <c r="GC98" s="966"/>
      <c r="GD98" s="980"/>
      <c r="GE98" s="980"/>
      <c r="GF98" s="980"/>
      <c r="GG98" s="966"/>
      <c r="GH98" s="966"/>
      <c r="GI98" s="978"/>
      <c r="GJ98" s="973"/>
      <c r="GK98" s="978"/>
      <c r="GL98" s="973"/>
      <c r="GM98" s="979"/>
      <c r="GN98" s="979"/>
      <c r="GO98" s="966"/>
      <c r="GP98" s="966"/>
      <c r="GQ98" s="980"/>
      <c r="GR98" s="980"/>
      <c r="GS98" s="980"/>
      <c r="GT98" s="966"/>
      <c r="GU98" s="966"/>
      <c r="GV98" s="978"/>
      <c r="GW98" s="973"/>
      <c r="GX98" s="978"/>
      <c r="GY98" s="973"/>
      <c r="GZ98" s="979"/>
      <c r="HA98" s="979"/>
      <c r="HB98" s="966"/>
      <c r="HC98" s="966"/>
      <c r="HD98" s="980"/>
      <c r="HE98" s="980"/>
      <c r="HF98" s="980"/>
      <c r="HG98" s="966"/>
      <c r="HH98" s="966"/>
      <c r="HI98" s="978"/>
      <c r="HJ98" s="973"/>
      <c r="HK98" s="978"/>
      <c r="HL98" s="973"/>
      <c r="HM98" s="979"/>
      <c r="HN98" s="979"/>
      <c r="HO98" s="966"/>
      <c r="HP98" s="966"/>
      <c r="HQ98" s="980"/>
      <c r="HR98" s="980"/>
      <c r="HS98" s="980"/>
      <c r="HT98" s="966"/>
      <c r="HU98" s="966"/>
      <c r="HV98" s="978"/>
      <c r="HW98" s="973"/>
      <c r="HX98" s="978"/>
      <c r="HY98" s="973"/>
      <c r="HZ98" s="979"/>
      <c r="IA98" s="979"/>
      <c r="IB98" s="966"/>
      <c r="IC98" s="966"/>
      <c r="ID98" s="980"/>
      <c r="IE98" s="980"/>
      <c r="IF98" s="980"/>
      <c r="IG98" s="966"/>
      <c r="IH98" s="966"/>
      <c r="II98" s="978"/>
      <c r="IJ98" s="973"/>
      <c r="IK98" s="978"/>
      <c r="IL98" s="973"/>
      <c r="IM98" s="979"/>
      <c r="IN98" s="979"/>
      <c r="IO98" s="966"/>
      <c r="IP98" s="966"/>
      <c r="IQ98" s="980"/>
      <c r="IR98" s="980"/>
      <c r="IS98" s="980"/>
      <c r="IT98" s="966"/>
      <c r="IU98" s="966"/>
      <c r="IV98" s="978"/>
      <c r="IW98" s="973"/>
      <c r="IX98" s="978"/>
      <c r="IY98" s="973"/>
      <c r="IZ98" s="979"/>
      <c r="JA98" s="979"/>
      <c r="JB98" s="966"/>
      <c r="JC98" s="966"/>
      <c r="JD98" s="980"/>
      <c r="JE98" s="980"/>
      <c r="JF98" s="980"/>
      <c r="JG98" s="966"/>
      <c r="JH98" s="966"/>
      <c r="JI98" s="978"/>
      <c r="JJ98" s="973"/>
      <c r="JK98" s="978"/>
      <c r="JL98" s="973"/>
      <c r="JM98" s="979"/>
      <c r="JN98" s="979"/>
      <c r="JO98" s="966"/>
      <c r="JP98" s="966"/>
      <c r="JQ98" s="980"/>
      <c r="JR98" s="980"/>
      <c r="JS98" s="980"/>
      <c r="JT98" s="966"/>
      <c r="JU98" s="966"/>
      <c r="JV98" s="978"/>
      <c r="JW98" s="973"/>
      <c r="JX98" s="978"/>
      <c r="JY98" s="973"/>
      <c r="JZ98" s="979"/>
      <c r="KA98" s="979"/>
      <c r="KB98" s="966"/>
      <c r="KC98" s="966"/>
      <c r="KD98" s="980"/>
      <c r="KE98" s="980"/>
      <c r="KF98" s="980"/>
      <c r="KG98" s="966"/>
      <c r="KH98" s="966"/>
      <c r="KI98" s="978"/>
      <c r="KJ98" s="973"/>
      <c r="KK98" s="978"/>
      <c r="KL98" s="973"/>
      <c r="KM98" s="979"/>
      <c r="KN98" s="979"/>
      <c r="KO98" s="966"/>
      <c r="KP98" s="966"/>
      <c r="KQ98" s="980"/>
      <c r="KR98" s="980"/>
      <c r="KS98" s="980"/>
      <c r="KT98" s="966"/>
      <c r="KU98" s="966"/>
      <c r="KV98" s="978"/>
      <c r="KW98" s="973"/>
      <c r="KX98" s="978"/>
      <c r="KY98" s="973"/>
      <c r="KZ98" s="979"/>
      <c r="LA98" s="979"/>
      <c r="LB98" s="966"/>
      <c r="LC98" s="966"/>
      <c r="LD98" s="980"/>
      <c r="LE98" s="980"/>
      <c r="LF98" s="980"/>
      <c r="LG98" s="966"/>
      <c r="LH98" s="966"/>
      <c r="LI98" s="978"/>
      <c r="LJ98" s="973"/>
      <c r="LK98" s="978"/>
      <c r="LL98" s="973"/>
      <c r="LM98" s="979"/>
      <c r="LN98" s="979"/>
      <c r="LO98" s="966"/>
      <c r="LP98" s="966"/>
      <c r="LQ98" s="980"/>
      <c r="LR98" s="980"/>
      <c r="LS98" s="980"/>
      <c r="LT98" s="966"/>
      <c r="LU98" s="966"/>
      <c r="LV98" s="978"/>
      <c r="LW98" s="973"/>
      <c r="LX98" s="978"/>
      <c r="LY98" s="973"/>
      <c r="LZ98" s="979"/>
      <c r="MA98" s="979"/>
      <c r="MB98" s="966"/>
      <c r="MC98" s="966"/>
      <c r="MD98" s="980"/>
      <c r="ME98" s="980"/>
      <c r="MF98" s="980"/>
      <c r="MG98" s="966"/>
    </row>
    <row r="99" spans="1:345" s="22" customFormat="1">
      <c r="A99" s="193"/>
      <c r="B99" s="196" t="str">
        <f>IF(C99="","",INDEX(Groups!$C$7:$C$65,MATCH(C99,Groups!$D$7:$D$65,0)))</f>
        <v/>
      </c>
      <c r="C99" s="197" t="str">
        <f>'World Cup'!$AC$50</f>
        <v/>
      </c>
      <c r="D99" s="198" t="str">
        <f>IF(E99="","",INDEX(Groups!$C$7:$C$65,MATCH(E99,Groups!$D$7:$D$65,0)))</f>
        <v/>
      </c>
      <c r="E99" s="197" t="str">
        <f>'World Cup'!$AD$50</f>
        <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6"/>
      <c r="N99" s="992"/>
      <c r="O99" s="993"/>
      <c r="P99" s="993"/>
      <c r="Q99" s="994">
        <f t="shared" si="55"/>
        <v>0</v>
      </c>
      <c r="R99" s="994">
        <f t="shared" si="56"/>
        <v>0</v>
      </c>
      <c r="S99" s="994"/>
      <c r="T99" s="991" t="str">
        <f t="shared" si="57"/>
        <v/>
      </c>
      <c r="U99" s="966"/>
      <c r="V99" s="978"/>
      <c r="W99" s="973"/>
      <c r="X99" s="978"/>
      <c r="Y99" s="973"/>
      <c r="Z99" s="979"/>
      <c r="AA99" s="979"/>
      <c r="AB99" s="966"/>
      <c r="AC99" s="966"/>
      <c r="AD99" s="980"/>
      <c r="AE99" s="980"/>
      <c r="AF99" s="980"/>
      <c r="AG99" s="966"/>
      <c r="AH99" s="966"/>
      <c r="AI99" s="978"/>
      <c r="AJ99" s="973"/>
      <c r="AK99" s="978"/>
      <c r="AL99" s="973"/>
      <c r="AM99" s="979"/>
      <c r="AN99" s="979"/>
      <c r="AO99" s="966"/>
      <c r="AP99" s="966"/>
      <c r="AQ99" s="980"/>
      <c r="AR99" s="980"/>
      <c r="AS99" s="980"/>
      <c r="AT99" s="966"/>
      <c r="AU99" s="966"/>
      <c r="AV99" s="978"/>
      <c r="AW99" s="973"/>
      <c r="AX99" s="978"/>
      <c r="AY99" s="973"/>
      <c r="AZ99" s="979"/>
      <c r="BA99" s="979"/>
      <c r="BB99" s="966"/>
      <c r="BC99" s="966"/>
      <c r="BD99" s="980"/>
      <c r="BE99" s="980"/>
      <c r="BF99" s="980"/>
      <c r="BG99" s="966"/>
      <c r="BH99" s="966"/>
      <c r="BI99" s="978"/>
      <c r="BJ99" s="973"/>
      <c r="BK99" s="978"/>
      <c r="BL99" s="973"/>
      <c r="BM99" s="979"/>
      <c r="BN99" s="979"/>
      <c r="BO99" s="966"/>
      <c r="BP99" s="966"/>
      <c r="BQ99" s="980"/>
      <c r="BR99" s="980"/>
      <c r="BS99" s="980"/>
      <c r="BT99" s="966"/>
      <c r="BU99" s="966"/>
      <c r="BV99" s="978"/>
      <c r="BW99" s="973"/>
      <c r="BX99" s="978"/>
      <c r="BY99" s="973"/>
      <c r="BZ99" s="979"/>
      <c r="CA99" s="979"/>
      <c r="CB99" s="966"/>
      <c r="CC99" s="966"/>
      <c r="CD99" s="980"/>
      <c r="CE99" s="980"/>
      <c r="CF99" s="980"/>
      <c r="CG99" s="966"/>
      <c r="CH99" s="966"/>
      <c r="CI99" s="978"/>
      <c r="CJ99" s="973"/>
      <c r="CK99" s="978"/>
      <c r="CL99" s="973"/>
      <c r="CM99" s="979"/>
      <c r="CN99" s="979"/>
      <c r="CO99" s="966"/>
      <c r="CP99" s="966"/>
      <c r="CQ99" s="980"/>
      <c r="CR99" s="980"/>
      <c r="CS99" s="980"/>
      <c r="CT99" s="966"/>
      <c r="CU99" s="966"/>
      <c r="CV99" s="978"/>
      <c r="CW99" s="973"/>
      <c r="CX99" s="978"/>
      <c r="CY99" s="973"/>
      <c r="CZ99" s="979"/>
      <c r="DA99" s="979"/>
      <c r="DB99" s="966"/>
      <c r="DC99" s="966"/>
      <c r="DD99" s="980"/>
      <c r="DE99" s="980"/>
      <c r="DF99" s="980"/>
      <c r="DG99" s="966"/>
      <c r="DH99" s="966"/>
      <c r="DI99" s="978"/>
      <c r="DJ99" s="973"/>
      <c r="DK99" s="978"/>
      <c r="DL99" s="973"/>
      <c r="DM99" s="979"/>
      <c r="DN99" s="979"/>
      <c r="DO99" s="966"/>
      <c r="DP99" s="966"/>
      <c r="DQ99" s="980"/>
      <c r="DR99" s="980"/>
      <c r="DS99" s="980"/>
      <c r="DT99" s="966"/>
      <c r="DU99" s="966"/>
      <c r="DV99" s="978"/>
      <c r="DW99" s="973"/>
      <c r="DX99" s="978"/>
      <c r="DY99" s="973"/>
      <c r="DZ99" s="979"/>
      <c r="EA99" s="979"/>
      <c r="EB99" s="966"/>
      <c r="EC99" s="966"/>
      <c r="ED99" s="980"/>
      <c r="EE99" s="980"/>
      <c r="EF99" s="980"/>
      <c r="EG99" s="966"/>
      <c r="EH99" s="966"/>
      <c r="EI99" s="978"/>
      <c r="EJ99" s="973"/>
      <c r="EK99" s="978"/>
      <c r="EL99" s="973"/>
      <c r="EM99" s="979"/>
      <c r="EN99" s="979"/>
      <c r="EO99" s="966"/>
      <c r="EP99" s="966"/>
      <c r="EQ99" s="980"/>
      <c r="ER99" s="980"/>
      <c r="ES99" s="980"/>
      <c r="ET99" s="966"/>
      <c r="EU99" s="966"/>
      <c r="EV99" s="978"/>
      <c r="EW99" s="973"/>
      <c r="EX99" s="978"/>
      <c r="EY99" s="973"/>
      <c r="EZ99" s="979"/>
      <c r="FA99" s="979"/>
      <c r="FB99" s="966"/>
      <c r="FC99" s="966"/>
      <c r="FD99" s="980"/>
      <c r="FE99" s="980"/>
      <c r="FF99" s="980"/>
      <c r="FG99" s="966"/>
      <c r="FH99" s="966"/>
      <c r="FI99" s="978"/>
      <c r="FJ99" s="973"/>
      <c r="FK99" s="978"/>
      <c r="FL99" s="973"/>
      <c r="FM99" s="979"/>
      <c r="FN99" s="979"/>
      <c r="FO99" s="966"/>
      <c r="FP99" s="966"/>
      <c r="FQ99" s="980"/>
      <c r="FR99" s="980"/>
      <c r="FS99" s="980"/>
      <c r="FT99" s="966"/>
      <c r="FU99" s="966"/>
      <c r="FV99" s="978"/>
      <c r="FW99" s="973"/>
      <c r="FX99" s="978"/>
      <c r="FY99" s="973"/>
      <c r="FZ99" s="979"/>
      <c r="GA99" s="979"/>
      <c r="GB99" s="966"/>
      <c r="GC99" s="966"/>
      <c r="GD99" s="980"/>
      <c r="GE99" s="980"/>
      <c r="GF99" s="980"/>
      <c r="GG99" s="966"/>
      <c r="GH99" s="966"/>
      <c r="GI99" s="978"/>
      <c r="GJ99" s="973"/>
      <c r="GK99" s="978"/>
      <c r="GL99" s="973"/>
      <c r="GM99" s="979"/>
      <c r="GN99" s="979"/>
      <c r="GO99" s="966"/>
      <c r="GP99" s="966"/>
      <c r="GQ99" s="980"/>
      <c r="GR99" s="980"/>
      <c r="GS99" s="980"/>
      <c r="GT99" s="966"/>
      <c r="GU99" s="966"/>
      <c r="GV99" s="978"/>
      <c r="GW99" s="973"/>
      <c r="GX99" s="978"/>
      <c r="GY99" s="973"/>
      <c r="GZ99" s="979"/>
      <c r="HA99" s="979"/>
      <c r="HB99" s="966"/>
      <c r="HC99" s="966"/>
      <c r="HD99" s="980"/>
      <c r="HE99" s="980"/>
      <c r="HF99" s="980"/>
      <c r="HG99" s="966"/>
      <c r="HH99" s="966"/>
      <c r="HI99" s="978"/>
      <c r="HJ99" s="973"/>
      <c r="HK99" s="978"/>
      <c r="HL99" s="973"/>
      <c r="HM99" s="979"/>
      <c r="HN99" s="979"/>
      <c r="HO99" s="966"/>
      <c r="HP99" s="966"/>
      <c r="HQ99" s="980"/>
      <c r="HR99" s="980"/>
      <c r="HS99" s="980"/>
      <c r="HT99" s="966"/>
      <c r="HU99" s="966"/>
      <c r="HV99" s="978"/>
      <c r="HW99" s="973"/>
      <c r="HX99" s="978"/>
      <c r="HY99" s="973"/>
      <c r="HZ99" s="979"/>
      <c r="IA99" s="979"/>
      <c r="IB99" s="966"/>
      <c r="IC99" s="966"/>
      <c r="ID99" s="980"/>
      <c r="IE99" s="980"/>
      <c r="IF99" s="980"/>
      <c r="IG99" s="966"/>
      <c r="IH99" s="966"/>
      <c r="II99" s="978"/>
      <c r="IJ99" s="973"/>
      <c r="IK99" s="978"/>
      <c r="IL99" s="973"/>
      <c r="IM99" s="979"/>
      <c r="IN99" s="979"/>
      <c r="IO99" s="966"/>
      <c r="IP99" s="966"/>
      <c r="IQ99" s="980"/>
      <c r="IR99" s="980"/>
      <c r="IS99" s="980"/>
      <c r="IT99" s="966"/>
      <c r="IU99" s="966"/>
      <c r="IV99" s="978"/>
      <c r="IW99" s="973"/>
      <c r="IX99" s="978"/>
      <c r="IY99" s="973"/>
      <c r="IZ99" s="979"/>
      <c r="JA99" s="979"/>
      <c r="JB99" s="966"/>
      <c r="JC99" s="966"/>
      <c r="JD99" s="980"/>
      <c r="JE99" s="980"/>
      <c r="JF99" s="980"/>
      <c r="JG99" s="966"/>
      <c r="JH99" s="966"/>
      <c r="JI99" s="978"/>
      <c r="JJ99" s="973"/>
      <c r="JK99" s="978"/>
      <c r="JL99" s="973"/>
      <c r="JM99" s="979"/>
      <c r="JN99" s="979"/>
      <c r="JO99" s="966"/>
      <c r="JP99" s="966"/>
      <c r="JQ99" s="980"/>
      <c r="JR99" s="980"/>
      <c r="JS99" s="980"/>
      <c r="JT99" s="966"/>
      <c r="JU99" s="966"/>
      <c r="JV99" s="978"/>
      <c r="JW99" s="973"/>
      <c r="JX99" s="978"/>
      <c r="JY99" s="973"/>
      <c r="JZ99" s="979"/>
      <c r="KA99" s="979"/>
      <c r="KB99" s="966"/>
      <c r="KC99" s="966"/>
      <c r="KD99" s="980"/>
      <c r="KE99" s="980"/>
      <c r="KF99" s="980"/>
      <c r="KG99" s="966"/>
      <c r="KH99" s="966"/>
      <c r="KI99" s="978"/>
      <c r="KJ99" s="973"/>
      <c r="KK99" s="978"/>
      <c r="KL99" s="973"/>
      <c r="KM99" s="979"/>
      <c r="KN99" s="979"/>
      <c r="KO99" s="966"/>
      <c r="KP99" s="966"/>
      <c r="KQ99" s="980"/>
      <c r="KR99" s="980"/>
      <c r="KS99" s="980"/>
      <c r="KT99" s="966"/>
      <c r="KU99" s="966"/>
      <c r="KV99" s="978"/>
      <c r="KW99" s="973"/>
      <c r="KX99" s="978"/>
      <c r="KY99" s="973"/>
      <c r="KZ99" s="979"/>
      <c r="LA99" s="979"/>
      <c r="LB99" s="966"/>
      <c r="LC99" s="966"/>
      <c r="LD99" s="980"/>
      <c r="LE99" s="980"/>
      <c r="LF99" s="980"/>
      <c r="LG99" s="966"/>
      <c r="LH99" s="966"/>
      <c r="LI99" s="978"/>
      <c r="LJ99" s="973"/>
      <c r="LK99" s="978"/>
      <c r="LL99" s="973"/>
      <c r="LM99" s="979"/>
      <c r="LN99" s="979"/>
      <c r="LO99" s="966"/>
      <c r="LP99" s="966"/>
      <c r="LQ99" s="980"/>
      <c r="LR99" s="980"/>
      <c r="LS99" s="980"/>
      <c r="LT99" s="966"/>
      <c r="LU99" s="966"/>
      <c r="LV99" s="978"/>
      <c r="LW99" s="973"/>
      <c r="LX99" s="978"/>
      <c r="LY99" s="973"/>
      <c r="LZ99" s="979"/>
      <c r="MA99" s="979"/>
      <c r="MB99" s="966"/>
      <c r="MC99" s="966"/>
      <c r="MD99" s="980"/>
      <c r="ME99" s="980"/>
      <c r="MF99" s="980"/>
      <c r="MG99" s="966"/>
    </row>
    <row r="100" spans="1:345" s="22" customFormat="1">
      <c r="A100" s="193"/>
      <c r="B100" s="196" t="str">
        <f>IF(C100="","",INDEX(Groups!$C$7:$C$65,MATCH(C100,Groups!$D$7:$D$65,0)))</f>
        <v/>
      </c>
      <c r="C100" s="197" t="str">
        <f>'World Cup'!$AF$50</f>
        <v/>
      </c>
      <c r="D100" s="198" t="str">
        <f>IF(E100="","",INDEX(Groups!$C$7:$C$65,MATCH(E100,Groups!$D$7:$D$65,0)))</f>
        <v/>
      </c>
      <c r="E100" s="197" t="str">
        <f>'World Cup'!$AG$50</f>
        <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6"/>
      <c r="N100" s="992"/>
      <c r="O100" s="993"/>
      <c r="P100" s="993"/>
      <c r="Q100" s="994">
        <f t="shared" si="55"/>
        <v>0</v>
      </c>
      <c r="R100" s="994">
        <f t="shared" si="56"/>
        <v>0</v>
      </c>
      <c r="S100" s="994"/>
      <c r="T100" s="991" t="str">
        <f t="shared" si="57"/>
        <v/>
      </c>
      <c r="U100" s="966"/>
      <c r="V100" s="978"/>
      <c r="W100" s="973"/>
      <c r="X100" s="978"/>
      <c r="Y100" s="973"/>
      <c r="Z100" s="979"/>
      <c r="AA100" s="979"/>
      <c r="AB100" s="966"/>
      <c r="AC100" s="966"/>
      <c r="AD100" s="980"/>
      <c r="AE100" s="980"/>
      <c r="AF100" s="980"/>
      <c r="AG100" s="966"/>
      <c r="AH100" s="966"/>
      <c r="AI100" s="978"/>
      <c r="AJ100" s="973"/>
      <c r="AK100" s="978"/>
      <c r="AL100" s="973"/>
      <c r="AM100" s="979"/>
      <c r="AN100" s="979"/>
      <c r="AO100" s="966"/>
      <c r="AP100" s="966"/>
      <c r="AQ100" s="980"/>
      <c r="AR100" s="980"/>
      <c r="AS100" s="980"/>
      <c r="AT100" s="966"/>
      <c r="AU100" s="966"/>
      <c r="AV100" s="978"/>
      <c r="AW100" s="973"/>
      <c r="AX100" s="978"/>
      <c r="AY100" s="973"/>
      <c r="AZ100" s="979"/>
      <c r="BA100" s="979"/>
      <c r="BB100" s="966"/>
      <c r="BC100" s="966"/>
      <c r="BD100" s="980"/>
      <c r="BE100" s="980"/>
      <c r="BF100" s="980"/>
      <c r="BG100" s="966"/>
      <c r="BH100" s="966"/>
      <c r="BI100" s="978"/>
      <c r="BJ100" s="973"/>
      <c r="BK100" s="978"/>
      <c r="BL100" s="973"/>
      <c r="BM100" s="979"/>
      <c r="BN100" s="979"/>
      <c r="BO100" s="966"/>
      <c r="BP100" s="966"/>
      <c r="BQ100" s="980"/>
      <c r="BR100" s="980"/>
      <c r="BS100" s="980"/>
      <c r="BT100" s="966"/>
      <c r="BU100" s="966"/>
      <c r="BV100" s="978"/>
      <c r="BW100" s="973"/>
      <c r="BX100" s="978"/>
      <c r="BY100" s="973"/>
      <c r="BZ100" s="979"/>
      <c r="CA100" s="979"/>
      <c r="CB100" s="966"/>
      <c r="CC100" s="966"/>
      <c r="CD100" s="980"/>
      <c r="CE100" s="980"/>
      <c r="CF100" s="980"/>
      <c r="CG100" s="966"/>
      <c r="CH100" s="966"/>
      <c r="CI100" s="978"/>
      <c r="CJ100" s="973"/>
      <c r="CK100" s="978"/>
      <c r="CL100" s="973"/>
      <c r="CM100" s="979"/>
      <c r="CN100" s="979"/>
      <c r="CO100" s="966"/>
      <c r="CP100" s="966"/>
      <c r="CQ100" s="980"/>
      <c r="CR100" s="980"/>
      <c r="CS100" s="980"/>
      <c r="CT100" s="966"/>
      <c r="CU100" s="966"/>
      <c r="CV100" s="978"/>
      <c r="CW100" s="973"/>
      <c r="CX100" s="978"/>
      <c r="CY100" s="973"/>
      <c r="CZ100" s="979"/>
      <c r="DA100" s="979"/>
      <c r="DB100" s="966"/>
      <c r="DC100" s="966"/>
      <c r="DD100" s="980"/>
      <c r="DE100" s="980"/>
      <c r="DF100" s="980"/>
      <c r="DG100" s="966"/>
      <c r="DH100" s="966"/>
      <c r="DI100" s="978"/>
      <c r="DJ100" s="973"/>
      <c r="DK100" s="978"/>
      <c r="DL100" s="973"/>
      <c r="DM100" s="979"/>
      <c r="DN100" s="979"/>
      <c r="DO100" s="966"/>
      <c r="DP100" s="966"/>
      <c r="DQ100" s="980"/>
      <c r="DR100" s="980"/>
      <c r="DS100" s="980"/>
      <c r="DT100" s="966"/>
      <c r="DU100" s="966"/>
      <c r="DV100" s="978"/>
      <c r="DW100" s="973"/>
      <c r="DX100" s="978"/>
      <c r="DY100" s="973"/>
      <c r="DZ100" s="979"/>
      <c r="EA100" s="979"/>
      <c r="EB100" s="966"/>
      <c r="EC100" s="966"/>
      <c r="ED100" s="980"/>
      <c r="EE100" s="980"/>
      <c r="EF100" s="980"/>
      <c r="EG100" s="966"/>
      <c r="EH100" s="966"/>
      <c r="EI100" s="978"/>
      <c r="EJ100" s="973"/>
      <c r="EK100" s="978"/>
      <c r="EL100" s="973"/>
      <c r="EM100" s="979"/>
      <c r="EN100" s="979"/>
      <c r="EO100" s="966"/>
      <c r="EP100" s="966"/>
      <c r="EQ100" s="980"/>
      <c r="ER100" s="980"/>
      <c r="ES100" s="980"/>
      <c r="ET100" s="966"/>
      <c r="EU100" s="966"/>
      <c r="EV100" s="978"/>
      <c r="EW100" s="973"/>
      <c r="EX100" s="978"/>
      <c r="EY100" s="973"/>
      <c r="EZ100" s="979"/>
      <c r="FA100" s="979"/>
      <c r="FB100" s="966"/>
      <c r="FC100" s="966"/>
      <c r="FD100" s="980"/>
      <c r="FE100" s="980"/>
      <c r="FF100" s="980"/>
      <c r="FG100" s="966"/>
      <c r="FH100" s="966"/>
      <c r="FI100" s="978"/>
      <c r="FJ100" s="973"/>
      <c r="FK100" s="978"/>
      <c r="FL100" s="973"/>
      <c r="FM100" s="979"/>
      <c r="FN100" s="979"/>
      <c r="FO100" s="966"/>
      <c r="FP100" s="966"/>
      <c r="FQ100" s="980"/>
      <c r="FR100" s="980"/>
      <c r="FS100" s="980"/>
      <c r="FT100" s="966"/>
      <c r="FU100" s="966"/>
      <c r="FV100" s="978"/>
      <c r="FW100" s="973"/>
      <c r="FX100" s="978"/>
      <c r="FY100" s="973"/>
      <c r="FZ100" s="979"/>
      <c r="GA100" s="979"/>
      <c r="GB100" s="966"/>
      <c r="GC100" s="966"/>
      <c r="GD100" s="980"/>
      <c r="GE100" s="980"/>
      <c r="GF100" s="980"/>
      <c r="GG100" s="966"/>
      <c r="GH100" s="966"/>
      <c r="GI100" s="978"/>
      <c r="GJ100" s="973"/>
      <c r="GK100" s="978"/>
      <c r="GL100" s="973"/>
      <c r="GM100" s="979"/>
      <c r="GN100" s="979"/>
      <c r="GO100" s="966"/>
      <c r="GP100" s="966"/>
      <c r="GQ100" s="980"/>
      <c r="GR100" s="980"/>
      <c r="GS100" s="980"/>
      <c r="GT100" s="966"/>
      <c r="GU100" s="966"/>
      <c r="GV100" s="978"/>
      <c r="GW100" s="973"/>
      <c r="GX100" s="978"/>
      <c r="GY100" s="973"/>
      <c r="GZ100" s="979"/>
      <c r="HA100" s="979"/>
      <c r="HB100" s="966"/>
      <c r="HC100" s="966"/>
      <c r="HD100" s="980"/>
      <c r="HE100" s="980"/>
      <c r="HF100" s="980"/>
      <c r="HG100" s="966"/>
      <c r="HH100" s="966"/>
      <c r="HI100" s="978"/>
      <c r="HJ100" s="973"/>
      <c r="HK100" s="978"/>
      <c r="HL100" s="973"/>
      <c r="HM100" s="979"/>
      <c r="HN100" s="979"/>
      <c r="HO100" s="966"/>
      <c r="HP100" s="966"/>
      <c r="HQ100" s="980"/>
      <c r="HR100" s="980"/>
      <c r="HS100" s="980"/>
      <c r="HT100" s="966"/>
      <c r="HU100" s="966"/>
      <c r="HV100" s="978"/>
      <c r="HW100" s="973"/>
      <c r="HX100" s="978"/>
      <c r="HY100" s="973"/>
      <c r="HZ100" s="979"/>
      <c r="IA100" s="979"/>
      <c r="IB100" s="966"/>
      <c r="IC100" s="966"/>
      <c r="ID100" s="980"/>
      <c r="IE100" s="980"/>
      <c r="IF100" s="980"/>
      <c r="IG100" s="966"/>
      <c r="IH100" s="966"/>
      <c r="II100" s="978"/>
      <c r="IJ100" s="973"/>
      <c r="IK100" s="978"/>
      <c r="IL100" s="973"/>
      <c r="IM100" s="979"/>
      <c r="IN100" s="979"/>
      <c r="IO100" s="966"/>
      <c r="IP100" s="966"/>
      <c r="IQ100" s="980"/>
      <c r="IR100" s="980"/>
      <c r="IS100" s="980"/>
      <c r="IT100" s="966"/>
      <c r="IU100" s="966"/>
      <c r="IV100" s="978"/>
      <c r="IW100" s="973"/>
      <c r="IX100" s="978"/>
      <c r="IY100" s="973"/>
      <c r="IZ100" s="979"/>
      <c r="JA100" s="979"/>
      <c r="JB100" s="966"/>
      <c r="JC100" s="966"/>
      <c r="JD100" s="980"/>
      <c r="JE100" s="980"/>
      <c r="JF100" s="980"/>
      <c r="JG100" s="966"/>
      <c r="JH100" s="966"/>
      <c r="JI100" s="978"/>
      <c r="JJ100" s="973"/>
      <c r="JK100" s="978"/>
      <c r="JL100" s="973"/>
      <c r="JM100" s="979"/>
      <c r="JN100" s="979"/>
      <c r="JO100" s="966"/>
      <c r="JP100" s="966"/>
      <c r="JQ100" s="980"/>
      <c r="JR100" s="980"/>
      <c r="JS100" s="980"/>
      <c r="JT100" s="966"/>
      <c r="JU100" s="966"/>
      <c r="JV100" s="978"/>
      <c r="JW100" s="973"/>
      <c r="JX100" s="978"/>
      <c r="JY100" s="973"/>
      <c r="JZ100" s="979"/>
      <c r="KA100" s="979"/>
      <c r="KB100" s="966"/>
      <c r="KC100" s="966"/>
      <c r="KD100" s="980"/>
      <c r="KE100" s="980"/>
      <c r="KF100" s="980"/>
      <c r="KG100" s="966"/>
      <c r="KH100" s="966"/>
      <c r="KI100" s="978"/>
      <c r="KJ100" s="973"/>
      <c r="KK100" s="978"/>
      <c r="KL100" s="973"/>
      <c r="KM100" s="979"/>
      <c r="KN100" s="979"/>
      <c r="KO100" s="966"/>
      <c r="KP100" s="966"/>
      <c r="KQ100" s="980"/>
      <c r="KR100" s="980"/>
      <c r="KS100" s="980"/>
      <c r="KT100" s="966"/>
      <c r="KU100" s="966"/>
      <c r="KV100" s="978"/>
      <c r="KW100" s="973"/>
      <c r="KX100" s="978"/>
      <c r="KY100" s="973"/>
      <c r="KZ100" s="979"/>
      <c r="LA100" s="979"/>
      <c r="LB100" s="966"/>
      <c r="LC100" s="966"/>
      <c r="LD100" s="980"/>
      <c r="LE100" s="980"/>
      <c r="LF100" s="980"/>
      <c r="LG100" s="966"/>
      <c r="LH100" s="966"/>
      <c r="LI100" s="978"/>
      <c r="LJ100" s="973"/>
      <c r="LK100" s="978"/>
      <c r="LL100" s="973"/>
      <c r="LM100" s="979"/>
      <c r="LN100" s="979"/>
      <c r="LO100" s="966"/>
      <c r="LP100" s="966"/>
      <c r="LQ100" s="980"/>
      <c r="LR100" s="980"/>
      <c r="LS100" s="980"/>
      <c r="LT100" s="966"/>
      <c r="LU100" s="966"/>
      <c r="LV100" s="978"/>
      <c r="LW100" s="973"/>
      <c r="LX100" s="978"/>
      <c r="LY100" s="973"/>
      <c r="LZ100" s="979"/>
      <c r="MA100" s="979"/>
      <c r="MB100" s="966"/>
      <c r="MC100" s="966"/>
      <c r="MD100" s="980"/>
      <c r="ME100" s="980"/>
      <c r="MF100" s="980"/>
      <c r="MG100" s="966"/>
    </row>
    <row r="101" spans="1:345" s="22" customFormat="1">
      <c r="A101" s="19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6"/>
      <c r="N101" s="992"/>
      <c r="O101" s="993"/>
      <c r="P101" s="993"/>
      <c r="Q101" s="994">
        <f t="shared" si="55"/>
        <v>0</v>
      </c>
      <c r="R101" s="994">
        <f t="shared" si="56"/>
        <v>0</v>
      </c>
      <c r="S101" s="994"/>
      <c r="T101" s="991" t="str">
        <f t="shared" si="57"/>
        <v/>
      </c>
      <c r="U101" s="966"/>
      <c r="V101" s="978"/>
      <c r="W101" s="973"/>
      <c r="X101" s="978"/>
      <c r="Y101" s="973"/>
      <c r="Z101" s="979"/>
      <c r="AA101" s="979"/>
      <c r="AB101" s="966"/>
      <c r="AC101" s="966"/>
      <c r="AD101" s="980"/>
      <c r="AE101" s="980"/>
      <c r="AF101" s="980"/>
      <c r="AG101" s="966"/>
      <c r="AH101" s="966"/>
      <c r="AI101" s="978"/>
      <c r="AJ101" s="973"/>
      <c r="AK101" s="978"/>
      <c r="AL101" s="973"/>
      <c r="AM101" s="979"/>
      <c r="AN101" s="979"/>
      <c r="AO101" s="966"/>
      <c r="AP101" s="966"/>
      <c r="AQ101" s="980"/>
      <c r="AR101" s="980"/>
      <c r="AS101" s="980"/>
      <c r="AT101" s="966"/>
      <c r="AU101" s="966"/>
      <c r="AV101" s="978"/>
      <c r="AW101" s="973"/>
      <c r="AX101" s="978"/>
      <c r="AY101" s="973"/>
      <c r="AZ101" s="979"/>
      <c r="BA101" s="979"/>
      <c r="BB101" s="966"/>
      <c r="BC101" s="966"/>
      <c r="BD101" s="980"/>
      <c r="BE101" s="980"/>
      <c r="BF101" s="980"/>
      <c r="BG101" s="966"/>
      <c r="BH101" s="966"/>
      <c r="BI101" s="978"/>
      <c r="BJ101" s="973"/>
      <c r="BK101" s="978"/>
      <c r="BL101" s="973"/>
      <c r="BM101" s="979"/>
      <c r="BN101" s="979"/>
      <c r="BO101" s="966"/>
      <c r="BP101" s="966"/>
      <c r="BQ101" s="980"/>
      <c r="BR101" s="980"/>
      <c r="BS101" s="980"/>
      <c r="BT101" s="966"/>
      <c r="BU101" s="966"/>
      <c r="BV101" s="978"/>
      <c r="BW101" s="973"/>
      <c r="BX101" s="978"/>
      <c r="BY101" s="973"/>
      <c r="BZ101" s="979"/>
      <c r="CA101" s="979"/>
      <c r="CB101" s="966"/>
      <c r="CC101" s="966"/>
      <c r="CD101" s="980"/>
      <c r="CE101" s="980"/>
      <c r="CF101" s="980"/>
      <c r="CG101" s="966"/>
      <c r="CH101" s="966"/>
      <c r="CI101" s="978"/>
      <c r="CJ101" s="973"/>
      <c r="CK101" s="978"/>
      <c r="CL101" s="973"/>
      <c r="CM101" s="979"/>
      <c r="CN101" s="979"/>
      <c r="CO101" s="966"/>
      <c r="CP101" s="966"/>
      <c r="CQ101" s="980"/>
      <c r="CR101" s="980"/>
      <c r="CS101" s="980"/>
      <c r="CT101" s="966"/>
      <c r="CU101" s="966"/>
      <c r="CV101" s="978"/>
      <c r="CW101" s="973"/>
      <c r="CX101" s="978"/>
      <c r="CY101" s="973"/>
      <c r="CZ101" s="979"/>
      <c r="DA101" s="979"/>
      <c r="DB101" s="966"/>
      <c r="DC101" s="966"/>
      <c r="DD101" s="980"/>
      <c r="DE101" s="980"/>
      <c r="DF101" s="980"/>
      <c r="DG101" s="966"/>
      <c r="DH101" s="966"/>
      <c r="DI101" s="978"/>
      <c r="DJ101" s="973"/>
      <c r="DK101" s="978"/>
      <c r="DL101" s="973"/>
      <c r="DM101" s="979"/>
      <c r="DN101" s="979"/>
      <c r="DO101" s="966"/>
      <c r="DP101" s="966"/>
      <c r="DQ101" s="980"/>
      <c r="DR101" s="980"/>
      <c r="DS101" s="980"/>
      <c r="DT101" s="966"/>
      <c r="DU101" s="966"/>
      <c r="DV101" s="978"/>
      <c r="DW101" s="973"/>
      <c r="DX101" s="978"/>
      <c r="DY101" s="973"/>
      <c r="DZ101" s="979"/>
      <c r="EA101" s="979"/>
      <c r="EB101" s="966"/>
      <c r="EC101" s="966"/>
      <c r="ED101" s="980"/>
      <c r="EE101" s="980"/>
      <c r="EF101" s="980"/>
      <c r="EG101" s="966"/>
      <c r="EH101" s="966"/>
      <c r="EI101" s="978"/>
      <c r="EJ101" s="973"/>
      <c r="EK101" s="978"/>
      <c r="EL101" s="973"/>
      <c r="EM101" s="979"/>
      <c r="EN101" s="979"/>
      <c r="EO101" s="966"/>
      <c r="EP101" s="966"/>
      <c r="EQ101" s="980"/>
      <c r="ER101" s="980"/>
      <c r="ES101" s="980"/>
      <c r="ET101" s="966"/>
      <c r="EU101" s="966"/>
      <c r="EV101" s="978"/>
      <c r="EW101" s="973"/>
      <c r="EX101" s="978"/>
      <c r="EY101" s="973"/>
      <c r="EZ101" s="979"/>
      <c r="FA101" s="979"/>
      <c r="FB101" s="966"/>
      <c r="FC101" s="966"/>
      <c r="FD101" s="980"/>
      <c r="FE101" s="980"/>
      <c r="FF101" s="980"/>
      <c r="FG101" s="966"/>
      <c r="FH101" s="966"/>
      <c r="FI101" s="978"/>
      <c r="FJ101" s="973"/>
      <c r="FK101" s="978"/>
      <c r="FL101" s="973"/>
      <c r="FM101" s="979"/>
      <c r="FN101" s="979"/>
      <c r="FO101" s="966"/>
      <c r="FP101" s="966"/>
      <c r="FQ101" s="980"/>
      <c r="FR101" s="980"/>
      <c r="FS101" s="980"/>
      <c r="FT101" s="966"/>
      <c r="FU101" s="966"/>
      <c r="FV101" s="978"/>
      <c r="FW101" s="973"/>
      <c r="FX101" s="978"/>
      <c r="FY101" s="973"/>
      <c r="FZ101" s="979"/>
      <c r="GA101" s="979"/>
      <c r="GB101" s="966"/>
      <c r="GC101" s="966"/>
      <c r="GD101" s="980"/>
      <c r="GE101" s="980"/>
      <c r="GF101" s="980"/>
      <c r="GG101" s="966"/>
      <c r="GH101" s="966"/>
      <c r="GI101" s="978"/>
      <c r="GJ101" s="973"/>
      <c r="GK101" s="978"/>
      <c r="GL101" s="973"/>
      <c r="GM101" s="979"/>
      <c r="GN101" s="979"/>
      <c r="GO101" s="966"/>
      <c r="GP101" s="966"/>
      <c r="GQ101" s="980"/>
      <c r="GR101" s="980"/>
      <c r="GS101" s="980"/>
      <c r="GT101" s="966"/>
      <c r="GU101" s="966"/>
      <c r="GV101" s="978"/>
      <c r="GW101" s="973"/>
      <c r="GX101" s="978"/>
      <c r="GY101" s="973"/>
      <c r="GZ101" s="979"/>
      <c r="HA101" s="979"/>
      <c r="HB101" s="966"/>
      <c r="HC101" s="966"/>
      <c r="HD101" s="980"/>
      <c r="HE101" s="980"/>
      <c r="HF101" s="980"/>
      <c r="HG101" s="966"/>
      <c r="HH101" s="966"/>
      <c r="HI101" s="978"/>
      <c r="HJ101" s="973"/>
      <c r="HK101" s="978"/>
      <c r="HL101" s="973"/>
      <c r="HM101" s="979"/>
      <c r="HN101" s="979"/>
      <c r="HO101" s="966"/>
      <c r="HP101" s="966"/>
      <c r="HQ101" s="980"/>
      <c r="HR101" s="980"/>
      <c r="HS101" s="980"/>
      <c r="HT101" s="966"/>
      <c r="HU101" s="966"/>
      <c r="HV101" s="978"/>
      <c r="HW101" s="973"/>
      <c r="HX101" s="978"/>
      <c r="HY101" s="973"/>
      <c r="HZ101" s="979"/>
      <c r="IA101" s="979"/>
      <c r="IB101" s="966"/>
      <c r="IC101" s="966"/>
      <c r="ID101" s="980"/>
      <c r="IE101" s="980"/>
      <c r="IF101" s="980"/>
      <c r="IG101" s="966"/>
      <c r="IH101" s="966"/>
      <c r="II101" s="978"/>
      <c r="IJ101" s="973"/>
      <c r="IK101" s="978"/>
      <c r="IL101" s="973"/>
      <c r="IM101" s="979"/>
      <c r="IN101" s="979"/>
      <c r="IO101" s="966"/>
      <c r="IP101" s="966"/>
      <c r="IQ101" s="980"/>
      <c r="IR101" s="980"/>
      <c r="IS101" s="980"/>
      <c r="IT101" s="966"/>
      <c r="IU101" s="966"/>
      <c r="IV101" s="978"/>
      <c r="IW101" s="973"/>
      <c r="IX101" s="978"/>
      <c r="IY101" s="973"/>
      <c r="IZ101" s="979"/>
      <c r="JA101" s="979"/>
      <c r="JB101" s="966"/>
      <c r="JC101" s="966"/>
      <c r="JD101" s="980"/>
      <c r="JE101" s="980"/>
      <c r="JF101" s="980"/>
      <c r="JG101" s="966"/>
      <c r="JH101" s="966"/>
      <c r="JI101" s="978"/>
      <c r="JJ101" s="973"/>
      <c r="JK101" s="978"/>
      <c r="JL101" s="973"/>
      <c r="JM101" s="979"/>
      <c r="JN101" s="979"/>
      <c r="JO101" s="966"/>
      <c r="JP101" s="966"/>
      <c r="JQ101" s="980"/>
      <c r="JR101" s="980"/>
      <c r="JS101" s="980"/>
      <c r="JT101" s="966"/>
      <c r="JU101" s="966"/>
      <c r="JV101" s="978"/>
      <c r="JW101" s="973"/>
      <c r="JX101" s="978"/>
      <c r="JY101" s="973"/>
      <c r="JZ101" s="979"/>
      <c r="KA101" s="979"/>
      <c r="KB101" s="966"/>
      <c r="KC101" s="966"/>
      <c r="KD101" s="980"/>
      <c r="KE101" s="980"/>
      <c r="KF101" s="980"/>
      <c r="KG101" s="966"/>
      <c r="KH101" s="966"/>
      <c r="KI101" s="978"/>
      <c r="KJ101" s="973"/>
      <c r="KK101" s="978"/>
      <c r="KL101" s="973"/>
      <c r="KM101" s="979"/>
      <c r="KN101" s="979"/>
      <c r="KO101" s="966"/>
      <c r="KP101" s="966"/>
      <c r="KQ101" s="980"/>
      <c r="KR101" s="980"/>
      <c r="KS101" s="980"/>
      <c r="KT101" s="966"/>
      <c r="KU101" s="966"/>
      <c r="KV101" s="978"/>
      <c r="KW101" s="973"/>
      <c r="KX101" s="978"/>
      <c r="KY101" s="973"/>
      <c r="KZ101" s="979"/>
      <c r="LA101" s="979"/>
      <c r="LB101" s="966"/>
      <c r="LC101" s="966"/>
      <c r="LD101" s="980"/>
      <c r="LE101" s="980"/>
      <c r="LF101" s="980"/>
      <c r="LG101" s="966"/>
      <c r="LH101" s="966"/>
      <c r="LI101" s="978"/>
      <c r="LJ101" s="973"/>
      <c r="LK101" s="978"/>
      <c r="LL101" s="973"/>
      <c r="LM101" s="979"/>
      <c r="LN101" s="979"/>
      <c r="LO101" s="966"/>
      <c r="LP101" s="966"/>
      <c r="LQ101" s="980"/>
      <c r="LR101" s="980"/>
      <c r="LS101" s="980"/>
      <c r="LT101" s="966"/>
      <c r="LU101" s="966"/>
      <c r="LV101" s="978"/>
      <c r="LW101" s="973"/>
      <c r="LX101" s="978"/>
      <c r="LY101" s="973"/>
      <c r="LZ101" s="979"/>
      <c r="MA101" s="979"/>
      <c r="MB101" s="966"/>
      <c r="MC101" s="966"/>
      <c r="MD101" s="980"/>
      <c r="ME101" s="980"/>
      <c r="MF101" s="980"/>
      <c r="MG101" s="966"/>
    </row>
    <row r="102" spans="1:345" s="22" customFormat="1">
      <c r="A102" s="19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6"/>
      <c r="N102" s="992"/>
      <c r="O102" s="993"/>
      <c r="P102" s="993"/>
      <c r="Q102" s="994">
        <f t="shared" si="55"/>
        <v>0</v>
      </c>
      <c r="R102" s="994">
        <f t="shared" si="56"/>
        <v>0</v>
      </c>
      <c r="S102" s="994"/>
      <c r="T102" s="991" t="str">
        <f t="shared" si="57"/>
        <v/>
      </c>
      <c r="U102" s="966"/>
      <c r="V102" s="978"/>
      <c r="W102" s="973"/>
      <c r="X102" s="978"/>
      <c r="Y102" s="973"/>
      <c r="Z102" s="979"/>
      <c r="AA102" s="979"/>
      <c r="AB102" s="966"/>
      <c r="AC102" s="966"/>
      <c r="AD102" s="980"/>
      <c r="AE102" s="980"/>
      <c r="AF102" s="980"/>
      <c r="AG102" s="966"/>
      <c r="AH102" s="966"/>
      <c r="AI102" s="978"/>
      <c r="AJ102" s="973"/>
      <c r="AK102" s="978"/>
      <c r="AL102" s="973"/>
      <c r="AM102" s="979"/>
      <c r="AN102" s="979"/>
      <c r="AO102" s="966"/>
      <c r="AP102" s="966"/>
      <c r="AQ102" s="980"/>
      <c r="AR102" s="980"/>
      <c r="AS102" s="980"/>
      <c r="AT102" s="966"/>
      <c r="AU102" s="966"/>
      <c r="AV102" s="978"/>
      <c r="AW102" s="973"/>
      <c r="AX102" s="978"/>
      <c r="AY102" s="973"/>
      <c r="AZ102" s="979"/>
      <c r="BA102" s="979"/>
      <c r="BB102" s="966"/>
      <c r="BC102" s="966"/>
      <c r="BD102" s="980"/>
      <c r="BE102" s="980"/>
      <c r="BF102" s="980"/>
      <c r="BG102" s="966"/>
      <c r="BH102" s="966"/>
      <c r="BI102" s="978"/>
      <c r="BJ102" s="973"/>
      <c r="BK102" s="978"/>
      <c r="BL102" s="973"/>
      <c r="BM102" s="979"/>
      <c r="BN102" s="979"/>
      <c r="BO102" s="966"/>
      <c r="BP102" s="966"/>
      <c r="BQ102" s="980"/>
      <c r="BR102" s="980"/>
      <c r="BS102" s="980"/>
      <c r="BT102" s="966"/>
      <c r="BU102" s="966"/>
      <c r="BV102" s="978"/>
      <c r="BW102" s="973"/>
      <c r="BX102" s="978"/>
      <c r="BY102" s="973"/>
      <c r="BZ102" s="979"/>
      <c r="CA102" s="979"/>
      <c r="CB102" s="966"/>
      <c r="CC102" s="966"/>
      <c r="CD102" s="980"/>
      <c r="CE102" s="980"/>
      <c r="CF102" s="980"/>
      <c r="CG102" s="966"/>
      <c r="CH102" s="966"/>
      <c r="CI102" s="978"/>
      <c r="CJ102" s="973"/>
      <c r="CK102" s="978"/>
      <c r="CL102" s="973"/>
      <c r="CM102" s="979"/>
      <c r="CN102" s="979"/>
      <c r="CO102" s="966"/>
      <c r="CP102" s="966"/>
      <c r="CQ102" s="980"/>
      <c r="CR102" s="980"/>
      <c r="CS102" s="980"/>
      <c r="CT102" s="966"/>
      <c r="CU102" s="966"/>
      <c r="CV102" s="978"/>
      <c r="CW102" s="973"/>
      <c r="CX102" s="978"/>
      <c r="CY102" s="973"/>
      <c r="CZ102" s="979"/>
      <c r="DA102" s="979"/>
      <c r="DB102" s="966"/>
      <c r="DC102" s="966"/>
      <c r="DD102" s="980"/>
      <c r="DE102" s="980"/>
      <c r="DF102" s="980"/>
      <c r="DG102" s="966"/>
      <c r="DH102" s="966"/>
      <c r="DI102" s="978"/>
      <c r="DJ102" s="973"/>
      <c r="DK102" s="978"/>
      <c r="DL102" s="973"/>
      <c r="DM102" s="979"/>
      <c r="DN102" s="979"/>
      <c r="DO102" s="966"/>
      <c r="DP102" s="966"/>
      <c r="DQ102" s="980"/>
      <c r="DR102" s="980"/>
      <c r="DS102" s="980"/>
      <c r="DT102" s="966"/>
      <c r="DU102" s="966"/>
      <c r="DV102" s="978"/>
      <c r="DW102" s="973"/>
      <c r="DX102" s="978"/>
      <c r="DY102" s="973"/>
      <c r="DZ102" s="979"/>
      <c r="EA102" s="979"/>
      <c r="EB102" s="966"/>
      <c r="EC102" s="966"/>
      <c r="ED102" s="980"/>
      <c r="EE102" s="980"/>
      <c r="EF102" s="980"/>
      <c r="EG102" s="966"/>
      <c r="EH102" s="966"/>
      <c r="EI102" s="978"/>
      <c r="EJ102" s="973"/>
      <c r="EK102" s="978"/>
      <c r="EL102" s="973"/>
      <c r="EM102" s="979"/>
      <c r="EN102" s="979"/>
      <c r="EO102" s="966"/>
      <c r="EP102" s="966"/>
      <c r="EQ102" s="980"/>
      <c r="ER102" s="980"/>
      <c r="ES102" s="980"/>
      <c r="ET102" s="966"/>
      <c r="EU102" s="966"/>
      <c r="EV102" s="978"/>
      <c r="EW102" s="973"/>
      <c r="EX102" s="978"/>
      <c r="EY102" s="973"/>
      <c r="EZ102" s="979"/>
      <c r="FA102" s="979"/>
      <c r="FB102" s="966"/>
      <c r="FC102" s="966"/>
      <c r="FD102" s="980"/>
      <c r="FE102" s="980"/>
      <c r="FF102" s="980"/>
      <c r="FG102" s="966"/>
      <c r="FH102" s="966"/>
      <c r="FI102" s="978"/>
      <c r="FJ102" s="973"/>
      <c r="FK102" s="978"/>
      <c r="FL102" s="973"/>
      <c r="FM102" s="979"/>
      <c r="FN102" s="979"/>
      <c r="FO102" s="966"/>
      <c r="FP102" s="966"/>
      <c r="FQ102" s="980"/>
      <c r="FR102" s="980"/>
      <c r="FS102" s="980"/>
      <c r="FT102" s="966"/>
      <c r="FU102" s="966"/>
      <c r="FV102" s="978"/>
      <c r="FW102" s="973"/>
      <c r="FX102" s="978"/>
      <c r="FY102" s="973"/>
      <c r="FZ102" s="979"/>
      <c r="GA102" s="979"/>
      <c r="GB102" s="966"/>
      <c r="GC102" s="966"/>
      <c r="GD102" s="980"/>
      <c r="GE102" s="980"/>
      <c r="GF102" s="980"/>
      <c r="GG102" s="966"/>
      <c r="GH102" s="966"/>
      <c r="GI102" s="978"/>
      <c r="GJ102" s="973"/>
      <c r="GK102" s="978"/>
      <c r="GL102" s="973"/>
      <c r="GM102" s="979"/>
      <c r="GN102" s="979"/>
      <c r="GO102" s="966"/>
      <c r="GP102" s="966"/>
      <c r="GQ102" s="980"/>
      <c r="GR102" s="980"/>
      <c r="GS102" s="980"/>
      <c r="GT102" s="966"/>
      <c r="GU102" s="966"/>
      <c r="GV102" s="978"/>
      <c r="GW102" s="973"/>
      <c r="GX102" s="978"/>
      <c r="GY102" s="973"/>
      <c r="GZ102" s="979"/>
      <c r="HA102" s="979"/>
      <c r="HB102" s="966"/>
      <c r="HC102" s="966"/>
      <c r="HD102" s="980"/>
      <c r="HE102" s="980"/>
      <c r="HF102" s="980"/>
      <c r="HG102" s="966"/>
      <c r="HH102" s="966"/>
      <c r="HI102" s="978"/>
      <c r="HJ102" s="973"/>
      <c r="HK102" s="978"/>
      <c r="HL102" s="973"/>
      <c r="HM102" s="979"/>
      <c r="HN102" s="979"/>
      <c r="HO102" s="966"/>
      <c r="HP102" s="966"/>
      <c r="HQ102" s="980"/>
      <c r="HR102" s="980"/>
      <c r="HS102" s="980"/>
      <c r="HT102" s="966"/>
      <c r="HU102" s="966"/>
      <c r="HV102" s="978"/>
      <c r="HW102" s="973"/>
      <c r="HX102" s="978"/>
      <c r="HY102" s="973"/>
      <c r="HZ102" s="979"/>
      <c r="IA102" s="979"/>
      <c r="IB102" s="966"/>
      <c r="IC102" s="966"/>
      <c r="ID102" s="980"/>
      <c r="IE102" s="980"/>
      <c r="IF102" s="980"/>
      <c r="IG102" s="966"/>
      <c r="IH102" s="966"/>
      <c r="II102" s="978"/>
      <c r="IJ102" s="973"/>
      <c r="IK102" s="978"/>
      <c r="IL102" s="973"/>
      <c r="IM102" s="979"/>
      <c r="IN102" s="979"/>
      <c r="IO102" s="966"/>
      <c r="IP102" s="966"/>
      <c r="IQ102" s="980"/>
      <c r="IR102" s="980"/>
      <c r="IS102" s="980"/>
      <c r="IT102" s="966"/>
      <c r="IU102" s="966"/>
      <c r="IV102" s="978"/>
      <c r="IW102" s="973"/>
      <c r="IX102" s="978"/>
      <c r="IY102" s="973"/>
      <c r="IZ102" s="979"/>
      <c r="JA102" s="979"/>
      <c r="JB102" s="966"/>
      <c r="JC102" s="966"/>
      <c r="JD102" s="980"/>
      <c r="JE102" s="980"/>
      <c r="JF102" s="980"/>
      <c r="JG102" s="966"/>
      <c r="JH102" s="966"/>
      <c r="JI102" s="978"/>
      <c r="JJ102" s="973"/>
      <c r="JK102" s="978"/>
      <c r="JL102" s="973"/>
      <c r="JM102" s="979"/>
      <c r="JN102" s="979"/>
      <c r="JO102" s="966"/>
      <c r="JP102" s="966"/>
      <c r="JQ102" s="980"/>
      <c r="JR102" s="980"/>
      <c r="JS102" s="980"/>
      <c r="JT102" s="966"/>
      <c r="JU102" s="966"/>
      <c r="JV102" s="978"/>
      <c r="JW102" s="973"/>
      <c r="JX102" s="978"/>
      <c r="JY102" s="973"/>
      <c r="JZ102" s="979"/>
      <c r="KA102" s="979"/>
      <c r="KB102" s="966"/>
      <c r="KC102" s="966"/>
      <c r="KD102" s="980"/>
      <c r="KE102" s="980"/>
      <c r="KF102" s="980"/>
      <c r="KG102" s="966"/>
      <c r="KH102" s="966"/>
      <c r="KI102" s="978"/>
      <c r="KJ102" s="973"/>
      <c r="KK102" s="978"/>
      <c r="KL102" s="973"/>
      <c r="KM102" s="979"/>
      <c r="KN102" s="979"/>
      <c r="KO102" s="966"/>
      <c r="KP102" s="966"/>
      <c r="KQ102" s="980"/>
      <c r="KR102" s="980"/>
      <c r="KS102" s="980"/>
      <c r="KT102" s="966"/>
      <c r="KU102" s="966"/>
      <c r="KV102" s="978"/>
      <c r="KW102" s="973"/>
      <c r="KX102" s="978"/>
      <c r="KY102" s="973"/>
      <c r="KZ102" s="979"/>
      <c r="LA102" s="979"/>
      <c r="LB102" s="966"/>
      <c r="LC102" s="966"/>
      <c r="LD102" s="980"/>
      <c r="LE102" s="980"/>
      <c r="LF102" s="980"/>
      <c r="LG102" s="966"/>
      <c r="LH102" s="966"/>
      <c r="LI102" s="978"/>
      <c r="LJ102" s="973"/>
      <c r="LK102" s="978"/>
      <c r="LL102" s="973"/>
      <c r="LM102" s="979"/>
      <c r="LN102" s="979"/>
      <c r="LO102" s="966"/>
      <c r="LP102" s="966"/>
      <c r="LQ102" s="980"/>
      <c r="LR102" s="980"/>
      <c r="LS102" s="980"/>
      <c r="LT102" s="966"/>
      <c r="LU102" s="966"/>
      <c r="LV102" s="978"/>
      <c r="LW102" s="973"/>
      <c r="LX102" s="978"/>
      <c r="LY102" s="973"/>
      <c r="LZ102" s="979"/>
      <c r="MA102" s="979"/>
      <c r="MB102" s="966"/>
      <c r="MC102" s="966"/>
      <c r="MD102" s="980"/>
      <c r="ME102" s="980"/>
      <c r="MF102" s="980"/>
      <c r="MG102" s="966"/>
    </row>
    <row r="103" spans="1:345" s="22" customFormat="1">
      <c r="A103" s="193"/>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6"/>
      <c r="N103" s="992"/>
      <c r="O103" s="993"/>
      <c r="P103" s="993"/>
      <c r="Q103" s="994">
        <f t="shared" si="55"/>
        <v>0</v>
      </c>
      <c r="R103" s="994">
        <f t="shared" si="56"/>
        <v>0</v>
      </c>
      <c r="S103" s="994"/>
      <c r="T103" s="991" t="str">
        <f t="shared" si="57"/>
        <v/>
      </c>
      <c r="U103" s="966"/>
      <c r="V103" s="978"/>
      <c r="W103" s="973"/>
      <c r="X103" s="978"/>
      <c r="Y103" s="973"/>
      <c r="Z103" s="979"/>
      <c r="AA103" s="979"/>
      <c r="AB103" s="966"/>
      <c r="AC103" s="966"/>
      <c r="AD103" s="980"/>
      <c r="AE103" s="980"/>
      <c r="AF103" s="980"/>
      <c r="AG103" s="966"/>
      <c r="AH103" s="966"/>
      <c r="AI103" s="978"/>
      <c r="AJ103" s="973"/>
      <c r="AK103" s="978"/>
      <c r="AL103" s="973"/>
      <c r="AM103" s="979"/>
      <c r="AN103" s="979"/>
      <c r="AO103" s="966"/>
      <c r="AP103" s="966"/>
      <c r="AQ103" s="980"/>
      <c r="AR103" s="980"/>
      <c r="AS103" s="980"/>
      <c r="AT103" s="966"/>
      <c r="AU103" s="966"/>
      <c r="AV103" s="978"/>
      <c r="AW103" s="973"/>
      <c r="AX103" s="978"/>
      <c r="AY103" s="973"/>
      <c r="AZ103" s="979"/>
      <c r="BA103" s="979"/>
      <c r="BB103" s="966"/>
      <c r="BC103" s="966"/>
      <c r="BD103" s="980"/>
      <c r="BE103" s="980"/>
      <c r="BF103" s="980"/>
      <c r="BG103" s="966"/>
      <c r="BH103" s="966"/>
      <c r="BI103" s="978"/>
      <c r="BJ103" s="973"/>
      <c r="BK103" s="978"/>
      <c r="BL103" s="973"/>
      <c r="BM103" s="979"/>
      <c r="BN103" s="979"/>
      <c r="BO103" s="966"/>
      <c r="BP103" s="966"/>
      <c r="BQ103" s="980"/>
      <c r="BR103" s="980"/>
      <c r="BS103" s="980"/>
      <c r="BT103" s="966"/>
      <c r="BU103" s="966"/>
      <c r="BV103" s="978"/>
      <c r="BW103" s="973"/>
      <c r="BX103" s="978"/>
      <c r="BY103" s="973"/>
      <c r="BZ103" s="979"/>
      <c r="CA103" s="979"/>
      <c r="CB103" s="966"/>
      <c r="CC103" s="966"/>
      <c r="CD103" s="980"/>
      <c r="CE103" s="980"/>
      <c r="CF103" s="980"/>
      <c r="CG103" s="966"/>
      <c r="CH103" s="966"/>
      <c r="CI103" s="978"/>
      <c r="CJ103" s="973"/>
      <c r="CK103" s="978"/>
      <c r="CL103" s="973"/>
      <c r="CM103" s="979"/>
      <c r="CN103" s="979"/>
      <c r="CO103" s="966"/>
      <c r="CP103" s="966"/>
      <c r="CQ103" s="980"/>
      <c r="CR103" s="980"/>
      <c r="CS103" s="980"/>
      <c r="CT103" s="966"/>
      <c r="CU103" s="966"/>
      <c r="CV103" s="978"/>
      <c r="CW103" s="973"/>
      <c r="CX103" s="978"/>
      <c r="CY103" s="973"/>
      <c r="CZ103" s="979"/>
      <c r="DA103" s="979"/>
      <c r="DB103" s="966"/>
      <c r="DC103" s="966"/>
      <c r="DD103" s="980"/>
      <c r="DE103" s="980"/>
      <c r="DF103" s="980"/>
      <c r="DG103" s="966"/>
      <c r="DH103" s="966"/>
      <c r="DI103" s="978"/>
      <c r="DJ103" s="973"/>
      <c r="DK103" s="978"/>
      <c r="DL103" s="973"/>
      <c r="DM103" s="979"/>
      <c r="DN103" s="979"/>
      <c r="DO103" s="966"/>
      <c r="DP103" s="966"/>
      <c r="DQ103" s="980"/>
      <c r="DR103" s="980"/>
      <c r="DS103" s="980"/>
      <c r="DT103" s="966"/>
      <c r="DU103" s="966"/>
      <c r="DV103" s="978"/>
      <c r="DW103" s="973"/>
      <c r="DX103" s="978"/>
      <c r="DY103" s="973"/>
      <c r="DZ103" s="979"/>
      <c r="EA103" s="979"/>
      <c r="EB103" s="966"/>
      <c r="EC103" s="966"/>
      <c r="ED103" s="980"/>
      <c r="EE103" s="980"/>
      <c r="EF103" s="980"/>
      <c r="EG103" s="966"/>
      <c r="EH103" s="966"/>
      <c r="EI103" s="978"/>
      <c r="EJ103" s="973"/>
      <c r="EK103" s="978"/>
      <c r="EL103" s="973"/>
      <c r="EM103" s="979"/>
      <c r="EN103" s="979"/>
      <c r="EO103" s="966"/>
      <c r="EP103" s="966"/>
      <c r="EQ103" s="980"/>
      <c r="ER103" s="980"/>
      <c r="ES103" s="980"/>
      <c r="ET103" s="966"/>
      <c r="EU103" s="966"/>
      <c r="EV103" s="978"/>
      <c r="EW103" s="973"/>
      <c r="EX103" s="978"/>
      <c r="EY103" s="973"/>
      <c r="EZ103" s="979"/>
      <c r="FA103" s="979"/>
      <c r="FB103" s="966"/>
      <c r="FC103" s="966"/>
      <c r="FD103" s="980"/>
      <c r="FE103" s="980"/>
      <c r="FF103" s="980"/>
      <c r="FG103" s="966"/>
      <c r="FH103" s="966"/>
      <c r="FI103" s="978"/>
      <c r="FJ103" s="973"/>
      <c r="FK103" s="978"/>
      <c r="FL103" s="973"/>
      <c r="FM103" s="979"/>
      <c r="FN103" s="979"/>
      <c r="FO103" s="966"/>
      <c r="FP103" s="966"/>
      <c r="FQ103" s="980"/>
      <c r="FR103" s="980"/>
      <c r="FS103" s="980"/>
      <c r="FT103" s="966"/>
      <c r="FU103" s="966"/>
      <c r="FV103" s="978"/>
      <c r="FW103" s="973"/>
      <c r="FX103" s="978"/>
      <c r="FY103" s="973"/>
      <c r="FZ103" s="979"/>
      <c r="GA103" s="979"/>
      <c r="GB103" s="966"/>
      <c r="GC103" s="966"/>
      <c r="GD103" s="980"/>
      <c r="GE103" s="980"/>
      <c r="GF103" s="980"/>
      <c r="GG103" s="966"/>
      <c r="GH103" s="966"/>
      <c r="GI103" s="978"/>
      <c r="GJ103" s="973"/>
      <c r="GK103" s="978"/>
      <c r="GL103" s="973"/>
      <c r="GM103" s="979"/>
      <c r="GN103" s="979"/>
      <c r="GO103" s="966"/>
      <c r="GP103" s="966"/>
      <c r="GQ103" s="980"/>
      <c r="GR103" s="980"/>
      <c r="GS103" s="980"/>
      <c r="GT103" s="966"/>
      <c r="GU103" s="966"/>
      <c r="GV103" s="978"/>
      <c r="GW103" s="973"/>
      <c r="GX103" s="978"/>
      <c r="GY103" s="973"/>
      <c r="GZ103" s="979"/>
      <c r="HA103" s="979"/>
      <c r="HB103" s="966"/>
      <c r="HC103" s="966"/>
      <c r="HD103" s="980"/>
      <c r="HE103" s="980"/>
      <c r="HF103" s="980"/>
      <c r="HG103" s="966"/>
      <c r="HH103" s="966"/>
      <c r="HI103" s="978"/>
      <c r="HJ103" s="973"/>
      <c r="HK103" s="978"/>
      <c r="HL103" s="973"/>
      <c r="HM103" s="979"/>
      <c r="HN103" s="979"/>
      <c r="HO103" s="966"/>
      <c r="HP103" s="966"/>
      <c r="HQ103" s="980"/>
      <c r="HR103" s="980"/>
      <c r="HS103" s="980"/>
      <c r="HT103" s="966"/>
      <c r="HU103" s="966"/>
      <c r="HV103" s="978"/>
      <c r="HW103" s="973"/>
      <c r="HX103" s="978"/>
      <c r="HY103" s="973"/>
      <c r="HZ103" s="979"/>
      <c r="IA103" s="979"/>
      <c r="IB103" s="966"/>
      <c r="IC103" s="966"/>
      <c r="ID103" s="980"/>
      <c r="IE103" s="980"/>
      <c r="IF103" s="980"/>
      <c r="IG103" s="966"/>
      <c r="IH103" s="966"/>
      <c r="II103" s="978"/>
      <c r="IJ103" s="973"/>
      <c r="IK103" s="978"/>
      <c r="IL103" s="973"/>
      <c r="IM103" s="979"/>
      <c r="IN103" s="979"/>
      <c r="IO103" s="966"/>
      <c r="IP103" s="966"/>
      <c r="IQ103" s="980"/>
      <c r="IR103" s="980"/>
      <c r="IS103" s="980"/>
      <c r="IT103" s="966"/>
      <c r="IU103" s="966"/>
      <c r="IV103" s="978"/>
      <c r="IW103" s="973"/>
      <c r="IX103" s="978"/>
      <c r="IY103" s="973"/>
      <c r="IZ103" s="979"/>
      <c r="JA103" s="979"/>
      <c r="JB103" s="966"/>
      <c r="JC103" s="966"/>
      <c r="JD103" s="980"/>
      <c r="JE103" s="980"/>
      <c r="JF103" s="980"/>
      <c r="JG103" s="966"/>
      <c r="JH103" s="966"/>
      <c r="JI103" s="978"/>
      <c r="JJ103" s="973"/>
      <c r="JK103" s="978"/>
      <c r="JL103" s="973"/>
      <c r="JM103" s="979"/>
      <c r="JN103" s="979"/>
      <c r="JO103" s="966"/>
      <c r="JP103" s="966"/>
      <c r="JQ103" s="980"/>
      <c r="JR103" s="980"/>
      <c r="JS103" s="980"/>
      <c r="JT103" s="966"/>
      <c r="JU103" s="966"/>
      <c r="JV103" s="978"/>
      <c r="JW103" s="973"/>
      <c r="JX103" s="978"/>
      <c r="JY103" s="973"/>
      <c r="JZ103" s="979"/>
      <c r="KA103" s="979"/>
      <c r="KB103" s="966"/>
      <c r="KC103" s="966"/>
      <c r="KD103" s="980"/>
      <c r="KE103" s="980"/>
      <c r="KF103" s="980"/>
      <c r="KG103" s="966"/>
      <c r="KH103" s="966"/>
      <c r="KI103" s="978"/>
      <c r="KJ103" s="973"/>
      <c r="KK103" s="978"/>
      <c r="KL103" s="973"/>
      <c r="KM103" s="979"/>
      <c r="KN103" s="979"/>
      <c r="KO103" s="966"/>
      <c r="KP103" s="966"/>
      <c r="KQ103" s="980"/>
      <c r="KR103" s="980"/>
      <c r="KS103" s="980"/>
      <c r="KT103" s="966"/>
      <c r="KU103" s="966"/>
      <c r="KV103" s="978"/>
      <c r="KW103" s="973"/>
      <c r="KX103" s="978"/>
      <c r="KY103" s="973"/>
      <c r="KZ103" s="979"/>
      <c r="LA103" s="979"/>
      <c r="LB103" s="966"/>
      <c r="LC103" s="966"/>
      <c r="LD103" s="980"/>
      <c r="LE103" s="980"/>
      <c r="LF103" s="980"/>
      <c r="LG103" s="966"/>
      <c r="LH103" s="966"/>
      <c r="LI103" s="978"/>
      <c r="LJ103" s="973"/>
      <c r="LK103" s="978"/>
      <c r="LL103" s="973"/>
      <c r="LM103" s="979"/>
      <c r="LN103" s="979"/>
      <c r="LO103" s="966"/>
      <c r="LP103" s="966"/>
      <c r="LQ103" s="980"/>
      <c r="LR103" s="980"/>
      <c r="LS103" s="980"/>
      <c r="LT103" s="966"/>
      <c r="LU103" s="966"/>
      <c r="LV103" s="978"/>
      <c r="LW103" s="973"/>
      <c r="LX103" s="978"/>
      <c r="LY103" s="973"/>
      <c r="LZ103" s="979"/>
      <c r="MA103" s="979"/>
      <c r="MB103" s="966"/>
      <c r="MC103" s="966"/>
      <c r="MD103" s="980"/>
      <c r="ME103" s="980"/>
      <c r="MF103" s="980"/>
      <c r="MG103" s="966"/>
    </row>
    <row r="104" spans="1:345" s="22" customFormat="1">
      <c r="A104" s="193"/>
      <c r="B104" s="196" t="str">
        <f>IF(C104="","",INDEX(Groups!$C$7:$C$65,MATCH(C104,Groups!$D$7:$D$65,0)))</f>
        <v/>
      </c>
      <c r="C104" s="197" t="str">
        <f>'World Cup'!$AR$50</f>
        <v/>
      </c>
      <c r="D104" s="198" t="str">
        <f>IF(E104="","",INDEX(Groups!$C$7:$C$65,MATCH(E104,Groups!$D$7:$D$65,0)))</f>
        <v/>
      </c>
      <c r="E104" s="197" t="str">
        <f>'World Cup'!$AS$50</f>
        <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6"/>
      <c r="N104" s="992"/>
      <c r="O104" s="993"/>
      <c r="P104" s="993"/>
      <c r="Q104" s="994">
        <f t="shared" si="55"/>
        <v>0</v>
      </c>
      <c r="R104" s="994">
        <f t="shared" si="56"/>
        <v>0</v>
      </c>
      <c r="S104" s="994"/>
      <c r="T104" s="991" t="str">
        <f t="shared" si="57"/>
        <v/>
      </c>
      <c r="U104" s="966"/>
      <c r="V104" s="978"/>
      <c r="W104" s="973"/>
      <c r="X104" s="978"/>
      <c r="Y104" s="973"/>
      <c r="Z104" s="979"/>
      <c r="AA104" s="979"/>
      <c r="AB104" s="966"/>
      <c r="AC104" s="966"/>
      <c r="AD104" s="980"/>
      <c r="AE104" s="980"/>
      <c r="AF104" s="980"/>
      <c r="AG104" s="966"/>
      <c r="AH104" s="966"/>
      <c r="AI104" s="978"/>
      <c r="AJ104" s="973"/>
      <c r="AK104" s="978"/>
      <c r="AL104" s="973"/>
      <c r="AM104" s="979"/>
      <c r="AN104" s="979"/>
      <c r="AO104" s="966"/>
      <c r="AP104" s="966"/>
      <c r="AQ104" s="980"/>
      <c r="AR104" s="980"/>
      <c r="AS104" s="980"/>
      <c r="AT104" s="966"/>
      <c r="AU104" s="966"/>
      <c r="AV104" s="978"/>
      <c r="AW104" s="973"/>
      <c r="AX104" s="978"/>
      <c r="AY104" s="973"/>
      <c r="AZ104" s="979"/>
      <c r="BA104" s="979"/>
      <c r="BB104" s="966"/>
      <c r="BC104" s="966"/>
      <c r="BD104" s="980"/>
      <c r="BE104" s="980"/>
      <c r="BF104" s="980"/>
      <c r="BG104" s="966"/>
      <c r="BH104" s="966"/>
      <c r="BI104" s="978"/>
      <c r="BJ104" s="973"/>
      <c r="BK104" s="978"/>
      <c r="BL104" s="973"/>
      <c r="BM104" s="979"/>
      <c r="BN104" s="979"/>
      <c r="BO104" s="966"/>
      <c r="BP104" s="966"/>
      <c r="BQ104" s="980"/>
      <c r="BR104" s="980"/>
      <c r="BS104" s="980"/>
      <c r="BT104" s="966"/>
      <c r="BU104" s="966"/>
      <c r="BV104" s="978"/>
      <c r="BW104" s="973"/>
      <c r="BX104" s="978"/>
      <c r="BY104" s="973"/>
      <c r="BZ104" s="979"/>
      <c r="CA104" s="979"/>
      <c r="CB104" s="966"/>
      <c r="CC104" s="966"/>
      <c r="CD104" s="980"/>
      <c r="CE104" s="980"/>
      <c r="CF104" s="980"/>
      <c r="CG104" s="966"/>
      <c r="CH104" s="966"/>
      <c r="CI104" s="978"/>
      <c r="CJ104" s="973"/>
      <c r="CK104" s="978"/>
      <c r="CL104" s="973"/>
      <c r="CM104" s="979"/>
      <c r="CN104" s="979"/>
      <c r="CO104" s="966"/>
      <c r="CP104" s="966"/>
      <c r="CQ104" s="980"/>
      <c r="CR104" s="980"/>
      <c r="CS104" s="980"/>
      <c r="CT104" s="966"/>
      <c r="CU104" s="966"/>
      <c r="CV104" s="978"/>
      <c r="CW104" s="973"/>
      <c r="CX104" s="978"/>
      <c r="CY104" s="973"/>
      <c r="CZ104" s="979"/>
      <c r="DA104" s="979"/>
      <c r="DB104" s="966"/>
      <c r="DC104" s="966"/>
      <c r="DD104" s="980"/>
      <c r="DE104" s="980"/>
      <c r="DF104" s="980"/>
      <c r="DG104" s="966"/>
      <c r="DH104" s="966"/>
      <c r="DI104" s="978"/>
      <c r="DJ104" s="973"/>
      <c r="DK104" s="978"/>
      <c r="DL104" s="973"/>
      <c r="DM104" s="979"/>
      <c r="DN104" s="979"/>
      <c r="DO104" s="966"/>
      <c r="DP104" s="966"/>
      <c r="DQ104" s="980"/>
      <c r="DR104" s="980"/>
      <c r="DS104" s="980"/>
      <c r="DT104" s="966"/>
      <c r="DU104" s="966"/>
      <c r="DV104" s="978"/>
      <c r="DW104" s="973"/>
      <c r="DX104" s="978"/>
      <c r="DY104" s="973"/>
      <c r="DZ104" s="979"/>
      <c r="EA104" s="979"/>
      <c r="EB104" s="966"/>
      <c r="EC104" s="966"/>
      <c r="ED104" s="980"/>
      <c r="EE104" s="980"/>
      <c r="EF104" s="980"/>
      <c r="EG104" s="966"/>
      <c r="EH104" s="966"/>
      <c r="EI104" s="978"/>
      <c r="EJ104" s="973"/>
      <c r="EK104" s="978"/>
      <c r="EL104" s="973"/>
      <c r="EM104" s="979"/>
      <c r="EN104" s="979"/>
      <c r="EO104" s="966"/>
      <c r="EP104" s="966"/>
      <c r="EQ104" s="980"/>
      <c r="ER104" s="980"/>
      <c r="ES104" s="980"/>
      <c r="ET104" s="966"/>
      <c r="EU104" s="966"/>
      <c r="EV104" s="978"/>
      <c r="EW104" s="973"/>
      <c r="EX104" s="978"/>
      <c r="EY104" s="973"/>
      <c r="EZ104" s="979"/>
      <c r="FA104" s="979"/>
      <c r="FB104" s="966"/>
      <c r="FC104" s="966"/>
      <c r="FD104" s="980"/>
      <c r="FE104" s="980"/>
      <c r="FF104" s="980"/>
      <c r="FG104" s="966"/>
      <c r="FH104" s="966"/>
      <c r="FI104" s="978"/>
      <c r="FJ104" s="973"/>
      <c r="FK104" s="978"/>
      <c r="FL104" s="973"/>
      <c r="FM104" s="979"/>
      <c r="FN104" s="979"/>
      <c r="FO104" s="966"/>
      <c r="FP104" s="966"/>
      <c r="FQ104" s="980"/>
      <c r="FR104" s="980"/>
      <c r="FS104" s="980"/>
      <c r="FT104" s="966"/>
      <c r="FU104" s="966"/>
      <c r="FV104" s="978"/>
      <c r="FW104" s="973"/>
      <c r="FX104" s="978"/>
      <c r="FY104" s="973"/>
      <c r="FZ104" s="979"/>
      <c r="GA104" s="979"/>
      <c r="GB104" s="966"/>
      <c r="GC104" s="966"/>
      <c r="GD104" s="980"/>
      <c r="GE104" s="980"/>
      <c r="GF104" s="980"/>
      <c r="GG104" s="966"/>
      <c r="GH104" s="966"/>
      <c r="GI104" s="978"/>
      <c r="GJ104" s="973"/>
      <c r="GK104" s="978"/>
      <c r="GL104" s="973"/>
      <c r="GM104" s="979"/>
      <c r="GN104" s="979"/>
      <c r="GO104" s="966"/>
      <c r="GP104" s="966"/>
      <c r="GQ104" s="980"/>
      <c r="GR104" s="980"/>
      <c r="GS104" s="980"/>
      <c r="GT104" s="966"/>
      <c r="GU104" s="966"/>
      <c r="GV104" s="978"/>
      <c r="GW104" s="973"/>
      <c r="GX104" s="978"/>
      <c r="GY104" s="973"/>
      <c r="GZ104" s="979"/>
      <c r="HA104" s="979"/>
      <c r="HB104" s="966"/>
      <c r="HC104" s="966"/>
      <c r="HD104" s="980"/>
      <c r="HE104" s="980"/>
      <c r="HF104" s="980"/>
      <c r="HG104" s="966"/>
      <c r="HH104" s="966"/>
      <c r="HI104" s="978"/>
      <c r="HJ104" s="973"/>
      <c r="HK104" s="978"/>
      <c r="HL104" s="973"/>
      <c r="HM104" s="979"/>
      <c r="HN104" s="979"/>
      <c r="HO104" s="966"/>
      <c r="HP104" s="966"/>
      <c r="HQ104" s="980"/>
      <c r="HR104" s="980"/>
      <c r="HS104" s="980"/>
      <c r="HT104" s="966"/>
      <c r="HU104" s="966"/>
      <c r="HV104" s="978"/>
      <c r="HW104" s="973"/>
      <c r="HX104" s="978"/>
      <c r="HY104" s="973"/>
      <c r="HZ104" s="979"/>
      <c r="IA104" s="979"/>
      <c r="IB104" s="966"/>
      <c r="IC104" s="966"/>
      <c r="ID104" s="980"/>
      <c r="IE104" s="980"/>
      <c r="IF104" s="980"/>
      <c r="IG104" s="966"/>
      <c r="IH104" s="966"/>
      <c r="II104" s="978"/>
      <c r="IJ104" s="973"/>
      <c r="IK104" s="978"/>
      <c r="IL104" s="973"/>
      <c r="IM104" s="979"/>
      <c r="IN104" s="979"/>
      <c r="IO104" s="966"/>
      <c r="IP104" s="966"/>
      <c r="IQ104" s="980"/>
      <c r="IR104" s="980"/>
      <c r="IS104" s="980"/>
      <c r="IT104" s="966"/>
      <c r="IU104" s="966"/>
      <c r="IV104" s="978"/>
      <c r="IW104" s="973"/>
      <c r="IX104" s="978"/>
      <c r="IY104" s="973"/>
      <c r="IZ104" s="979"/>
      <c r="JA104" s="979"/>
      <c r="JB104" s="966"/>
      <c r="JC104" s="966"/>
      <c r="JD104" s="980"/>
      <c r="JE104" s="980"/>
      <c r="JF104" s="980"/>
      <c r="JG104" s="966"/>
      <c r="JH104" s="966"/>
      <c r="JI104" s="978"/>
      <c r="JJ104" s="973"/>
      <c r="JK104" s="978"/>
      <c r="JL104" s="973"/>
      <c r="JM104" s="979"/>
      <c r="JN104" s="979"/>
      <c r="JO104" s="966"/>
      <c r="JP104" s="966"/>
      <c r="JQ104" s="980"/>
      <c r="JR104" s="980"/>
      <c r="JS104" s="980"/>
      <c r="JT104" s="966"/>
      <c r="JU104" s="966"/>
      <c r="JV104" s="978"/>
      <c r="JW104" s="973"/>
      <c r="JX104" s="978"/>
      <c r="JY104" s="973"/>
      <c r="JZ104" s="979"/>
      <c r="KA104" s="979"/>
      <c r="KB104" s="966"/>
      <c r="KC104" s="966"/>
      <c r="KD104" s="980"/>
      <c r="KE104" s="980"/>
      <c r="KF104" s="980"/>
      <c r="KG104" s="966"/>
      <c r="KH104" s="966"/>
      <c r="KI104" s="978"/>
      <c r="KJ104" s="973"/>
      <c r="KK104" s="978"/>
      <c r="KL104" s="973"/>
      <c r="KM104" s="979"/>
      <c r="KN104" s="979"/>
      <c r="KO104" s="966"/>
      <c r="KP104" s="966"/>
      <c r="KQ104" s="980"/>
      <c r="KR104" s="980"/>
      <c r="KS104" s="980"/>
      <c r="KT104" s="966"/>
      <c r="KU104" s="966"/>
      <c r="KV104" s="978"/>
      <c r="KW104" s="973"/>
      <c r="KX104" s="978"/>
      <c r="KY104" s="973"/>
      <c r="KZ104" s="979"/>
      <c r="LA104" s="979"/>
      <c r="LB104" s="966"/>
      <c r="LC104" s="966"/>
      <c r="LD104" s="980"/>
      <c r="LE104" s="980"/>
      <c r="LF104" s="980"/>
      <c r="LG104" s="966"/>
      <c r="LH104" s="966"/>
      <c r="LI104" s="978"/>
      <c r="LJ104" s="973"/>
      <c r="LK104" s="978"/>
      <c r="LL104" s="973"/>
      <c r="LM104" s="979"/>
      <c r="LN104" s="979"/>
      <c r="LO104" s="966"/>
      <c r="LP104" s="966"/>
      <c r="LQ104" s="980"/>
      <c r="LR104" s="980"/>
      <c r="LS104" s="980"/>
      <c r="LT104" s="966"/>
      <c r="LU104" s="966"/>
      <c r="LV104" s="978"/>
      <c r="LW104" s="973"/>
      <c r="LX104" s="978"/>
      <c r="LY104" s="973"/>
      <c r="LZ104" s="979"/>
      <c r="MA104" s="979"/>
      <c r="MB104" s="966"/>
      <c r="MC104" s="966"/>
      <c r="MD104" s="980"/>
      <c r="ME104" s="980"/>
      <c r="MF104" s="980"/>
      <c r="MG104" s="966"/>
    </row>
    <row r="105" spans="1:345" s="22" customFormat="1">
      <c r="A105" s="19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7"/>
      <c r="N105" s="268"/>
      <c r="O105" s="253"/>
      <c r="P105" s="253"/>
      <c r="Q105" s="254">
        <f t="shared" si="55"/>
        <v>0</v>
      </c>
      <c r="R105" s="254">
        <f t="shared" si="56"/>
        <v>0</v>
      </c>
      <c r="S105" s="254"/>
      <c r="T105" s="991" t="str">
        <f t="shared" si="57"/>
        <v/>
      </c>
      <c r="U105" s="966"/>
      <c r="V105" s="978"/>
      <c r="W105" s="973"/>
      <c r="X105" s="978"/>
      <c r="Y105" s="973"/>
      <c r="Z105" s="979"/>
      <c r="AA105" s="979"/>
      <c r="AB105" s="966"/>
      <c r="AC105" s="966"/>
      <c r="AD105" s="980"/>
      <c r="AE105" s="980"/>
      <c r="AF105" s="980"/>
      <c r="AG105" s="966"/>
      <c r="AH105" s="966"/>
      <c r="AI105" s="978"/>
      <c r="AJ105" s="973"/>
      <c r="AK105" s="978"/>
      <c r="AL105" s="973"/>
      <c r="AM105" s="979"/>
      <c r="AN105" s="979"/>
      <c r="AO105" s="966"/>
      <c r="AP105" s="966"/>
      <c r="AQ105" s="980"/>
      <c r="AR105" s="980"/>
      <c r="AS105" s="980"/>
      <c r="AT105" s="966"/>
      <c r="AU105" s="966"/>
      <c r="AV105" s="978"/>
      <c r="AW105" s="973"/>
      <c r="AX105" s="978"/>
      <c r="AY105" s="973"/>
      <c r="AZ105" s="979"/>
      <c r="BA105" s="979"/>
      <c r="BB105" s="966"/>
      <c r="BC105" s="966"/>
      <c r="BD105" s="980"/>
      <c r="BE105" s="980"/>
      <c r="BF105" s="980"/>
      <c r="BG105" s="966"/>
      <c r="BH105" s="966"/>
      <c r="BI105" s="978"/>
      <c r="BJ105" s="973"/>
      <c r="BK105" s="978"/>
      <c r="BL105" s="973"/>
      <c r="BM105" s="979"/>
      <c r="BN105" s="979"/>
      <c r="BO105" s="966"/>
      <c r="BP105" s="966"/>
      <c r="BQ105" s="980"/>
      <c r="BR105" s="980"/>
      <c r="BS105" s="980"/>
      <c r="BT105" s="966"/>
      <c r="BU105" s="966"/>
      <c r="BV105" s="978"/>
      <c r="BW105" s="973"/>
      <c r="BX105" s="978"/>
      <c r="BY105" s="973"/>
      <c r="BZ105" s="979"/>
      <c r="CA105" s="979"/>
      <c r="CB105" s="966"/>
      <c r="CC105" s="966"/>
      <c r="CD105" s="980"/>
      <c r="CE105" s="980"/>
      <c r="CF105" s="980"/>
      <c r="CG105" s="966"/>
      <c r="CH105" s="966"/>
      <c r="CI105" s="978"/>
      <c r="CJ105" s="973"/>
      <c r="CK105" s="978"/>
      <c r="CL105" s="973"/>
      <c r="CM105" s="979"/>
      <c r="CN105" s="979"/>
      <c r="CO105" s="966"/>
      <c r="CP105" s="966"/>
      <c r="CQ105" s="980"/>
      <c r="CR105" s="980"/>
      <c r="CS105" s="980"/>
      <c r="CT105" s="966"/>
      <c r="CU105" s="966"/>
      <c r="CV105" s="978"/>
      <c r="CW105" s="973"/>
      <c r="CX105" s="978"/>
      <c r="CY105" s="973"/>
      <c r="CZ105" s="979"/>
      <c r="DA105" s="979"/>
      <c r="DB105" s="966"/>
      <c r="DC105" s="966"/>
      <c r="DD105" s="980"/>
      <c r="DE105" s="980"/>
      <c r="DF105" s="980"/>
      <c r="DG105" s="966"/>
      <c r="DH105" s="966"/>
      <c r="DI105" s="978"/>
      <c r="DJ105" s="973"/>
      <c r="DK105" s="978"/>
      <c r="DL105" s="973"/>
      <c r="DM105" s="979"/>
      <c r="DN105" s="979"/>
      <c r="DO105" s="966"/>
      <c r="DP105" s="966"/>
      <c r="DQ105" s="980"/>
      <c r="DR105" s="980"/>
      <c r="DS105" s="980"/>
      <c r="DT105" s="966"/>
      <c r="DU105" s="966"/>
      <c r="DV105" s="978"/>
      <c r="DW105" s="973"/>
      <c r="DX105" s="978"/>
      <c r="DY105" s="973"/>
      <c r="DZ105" s="979"/>
      <c r="EA105" s="979"/>
      <c r="EB105" s="966"/>
      <c r="EC105" s="966"/>
      <c r="ED105" s="980"/>
      <c r="EE105" s="980"/>
      <c r="EF105" s="980"/>
      <c r="EG105" s="966"/>
      <c r="EH105" s="966"/>
      <c r="EI105" s="978"/>
      <c r="EJ105" s="973"/>
      <c r="EK105" s="978"/>
      <c r="EL105" s="973"/>
      <c r="EM105" s="979"/>
      <c r="EN105" s="979"/>
      <c r="EO105" s="966"/>
      <c r="EP105" s="966"/>
      <c r="EQ105" s="980"/>
      <c r="ER105" s="980"/>
      <c r="ES105" s="980"/>
      <c r="ET105" s="966"/>
      <c r="EU105" s="966"/>
      <c r="EV105" s="978"/>
      <c r="EW105" s="973"/>
      <c r="EX105" s="978"/>
      <c r="EY105" s="973"/>
      <c r="EZ105" s="979"/>
      <c r="FA105" s="979"/>
      <c r="FB105" s="966"/>
      <c r="FC105" s="966"/>
      <c r="FD105" s="980"/>
      <c r="FE105" s="980"/>
      <c r="FF105" s="980"/>
      <c r="FG105" s="966"/>
      <c r="FH105" s="966"/>
      <c r="FI105" s="978"/>
      <c r="FJ105" s="973"/>
      <c r="FK105" s="978"/>
      <c r="FL105" s="973"/>
      <c r="FM105" s="979"/>
      <c r="FN105" s="979"/>
      <c r="FO105" s="966"/>
      <c r="FP105" s="966"/>
      <c r="FQ105" s="980"/>
      <c r="FR105" s="980"/>
      <c r="FS105" s="980"/>
      <c r="FT105" s="966"/>
      <c r="FU105" s="966"/>
      <c r="FV105" s="978"/>
      <c r="FW105" s="973"/>
      <c r="FX105" s="978"/>
      <c r="FY105" s="973"/>
      <c r="FZ105" s="979"/>
      <c r="GA105" s="979"/>
      <c r="GB105" s="966"/>
      <c r="GC105" s="966"/>
      <c r="GD105" s="980"/>
      <c r="GE105" s="980"/>
      <c r="GF105" s="980"/>
      <c r="GG105" s="966"/>
      <c r="GH105" s="966"/>
      <c r="GI105" s="978"/>
      <c r="GJ105" s="973"/>
      <c r="GK105" s="978"/>
      <c r="GL105" s="973"/>
      <c r="GM105" s="979"/>
      <c r="GN105" s="979"/>
      <c r="GO105" s="966"/>
      <c r="GP105" s="966"/>
      <c r="GQ105" s="980"/>
      <c r="GR105" s="980"/>
      <c r="GS105" s="980"/>
      <c r="GT105" s="966"/>
      <c r="GU105" s="966"/>
      <c r="GV105" s="978"/>
      <c r="GW105" s="973"/>
      <c r="GX105" s="978"/>
      <c r="GY105" s="973"/>
      <c r="GZ105" s="979"/>
      <c r="HA105" s="979"/>
      <c r="HB105" s="966"/>
      <c r="HC105" s="966"/>
      <c r="HD105" s="980"/>
      <c r="HE105" s="980"/>
      <c r="HF105" s="980"/>
      <c r="HG105" s="966"/>
      <c r="HH105" s="966"/>
      <c r="HI105" s="978"/>
      <c r="HJ105" s="973"/>
      <c r="HK105" s="978"/>
      <c r="HL105" s="973"/>
      <c r="HM105" s="979"/>
      <c r="HN105" s="979"/>
      <c r="HO105" s="966"/>
      <c r="HP105" s="966"/>
      <c r="HQ105" s="980"/>
      <c r="HR105" s="980"/>
      <c r="HS105" s="980"/>
      <c r="HT105" s="966"/>
      <c r="HU105" s="966"/>
      <c r="HV105" s="978"/>
      <c r="HW105" s="973"/>
      <c r="HX105" s="978"/>
      <c r="HY105" s="973"/>
      <c r="HZ105" s="979"/>
      <c r="IA105" s="979"/>
      <c r="IB105" s="966"/>
      <c r="IC105" s="966"/>
      <c r="ID105" s="980"/>
      <c r="IE105" s="980"/>
      <c r="IF105" s="980"/>
      <c r="IG105" s="966"/>
      <c r="IH105" s="966"/>
      <c r="II105" s="978"/>
      <c r="IJ105" s="973"/>
      <c r="IK105" s="978"/>
      <c r="IL105" s="973"/>
      <c r="IM105" s="979"/>
      <c r="IN105" s="979"/>
      <c r="IO105" s="966"/>
      <c r="IP105" s="966"/>
      <c r="IQ105" s="980"/>
      <c r="IR105" s="980"/>
      <c r="IS105" s="980"/>
      <c r="IT105" s="966"/>
      <c r="IU105" s="966"/>
      <c r="IV105" s="978"/>
      <c r="IW105" s="973"/>
      <c r="IX105" s="978"/>
      <c r="IY105" s="973"/>
      <c r="IZ105" s="979"/>
      <c r="JA105" s="979"/>
      <c r="JB105" s="966"/>
      <c r="JC105" s="966"/>
      <c r="JD105" s="980"/>
      <c r="JE105" s="980"/>
      <c r="JF105" s="980"/>
      <c r="JG105" s="966"/>
      <c r="JH105" s="966"/>
      <c r="JI105" s="978"/>
      <c r="JJ105" s="973"/>
      <c r="JK105" s="978"/>
      <c r="JL105" s="973"/>
      <c r="JM105" s="979"/>
      <c r="JN105" s="979"/>
      <c r="JO105" s="966"/>
      <c r="JP105" s="966"/>
      <c r="JQ105" s="980"/>
      <c r="JR105" s="980"/>
      <c r="JS105" s="980"/>
      <c r="JT105" s="966"/>
      <c r="JU105" s="966"/>
      <c r="JV105" s="978"/>
      <c r="JW105" s="973"/>
      <c r="JX105" s="978"/>
      <c r="JY105" s="973"/>
      <c r="JZ105" s="979"/>
      <c r="KA105" s="979"/>
      <c r="KB105" s="966"/>
      <c r="KC105" s="966"/>
      <c r="KD105" s="980"/>
      <c r="KE105" s="980"/>
      <c r="KF105" s="980"/>
      <c r="KG105" s="966"/>
      <c r="KH105" s="966"/>
      <c r="KI105" s="978"/>
      <c r="KJ105" s="973"/>
      <c r="KK105" s="978"/>
      <c r="KL105" s="973"/>
      <c r="KM105" s="979"/>
      <c r="KN105" s="979"/>
      <c r="KO105" s="966"/>
      <c r="KP105" s="966"/>
      <c r="KQ105" s="980"/>
      <c r="KR105" s="980"/>
      <c r="KS105" s="980"/>
      <c r="KT105" s="966"/>
      <c r="KU105" s="966"/>
      <c r="KV105" s="978"/>
      <c r="KW105" s="973"/>
      <c r="KX105" s="978"/>
      <c r="KY105" s="973"/>
      <c r="KZ105" s="979"/>
      <c r="LA105" s="979"/>
      <c r="LB105" s="966"/>
      <c r="LC105" s="966"/>
      <c r="LD105" s="980"/>
      <c r="LE105" s="980"/>
      <c r="LF105" s="980"/>
      <c r="LG105" s="966"/>
      <c r="LH105" s="966"/>
      <c r="LI105" s="978"/>
      <c r="LJ105" s="973"/>
      <c r="LK105" s="978"/>
      <c r="LL105" s="973"/>
      <c r="LM105" s="979"/>
      <c r="LN105" s="979"/>
      <c r="LO105" s="966"/>
      <c r="LP105" s="966"/>
      <c r="LQ105" s="980"/>
      <c r="LR105" s="980"/>
      <c r="LS105" s="980"/>
      <c r="LT105" s="966"/>
      <c r="LU105" s="966"/>
      <c r="LV105" s="978"/>
      <c r="LW105" s="973"/>
      <c r="LX105" s="978"/>
      <c r="LY105" s="973"/>
      <c r="LZ105" s="979"/>
      <c r="MA105" s="979"/>
      <c r="MB105" s="966"/>
      <c r="MC105" s="966"/>
      <c r="MD105" s="980"/>
      <c r="ME105" s="980"/>
      <c r="MF105" s="980"/>
      <c r="MG105" s="966"/>
    </row>
    <row r="106" spans="1:345" s="22" customFormat="1" ht="24" customHeight="1">
      <c r="A106" s="193"/>
      <c r="B106" s="205" t="str">
        <f>Language!$E$215</f>
        <v>Achtste finale</v>
      </c>
      <c r="C106" s="211"/>
      <c r="D106" s="211"/>
      <c r="E106" s="208"/>
      <c r="F106" s="212"/>
      <c r="G106" s="213"/>
      <c r="I106" s="205" t="str">
        <f t="shared" si="54"/>
        <v>Achtste finale</v>
      </c>
      <c r="J106" s="207"/>
      <c r="K106" s="207"/>
      <c r="L106" s="208"/>
      <c r="M106" s="236"/>
      <c r="N106" s="237"/>
      <c r="O106" s="209"/>
      <c r="P106" s="220"/>
      <c r="Q106" s="208"/>
      <c r="R106" s="208"/>
      <c r="S106" s="208"/>
      <c r="T106" s="987"/>
      <c r="U106" s="966"/>
      <c r="V106" s="972"/>
      <c r="W106" s="972"/>
      <c r="X106" s="972"/>
      <c r="Y106" s="973"/>
      <c r="Z106" s="974"/>
      <c r="AA106" s="975"/>
      <c r="AB106" s="976"/>
      <c r="AC106" s="977"/>
      <c r="AD106" s="973"/>
      <c r="AE106" s="973"/>
      <c r="AF106" s="973"/>
      <c r="AG106" s="973"/>
      <c r="AH106" s="966"/>
      <c r="AI106" s="972"/>
      <c r="AJ106" s="972"/>
      <c r="AK106" s="972"/>
      <c r="AL106" s="973"/>
      <c r="AM106" s="974"/>
      <c r="AN106" s="975"/>
      <c r="AO106" s="976"/>
      <c r="AP106" s="977"/>
      <c r="AQ106" s="973"/>
      <c r="AR106" s="973"/>
      <c r="AS106" s="973"/>
      <c r="AT106" s="973"/>
      <c r="AU106" s="966"/>
      <c r="AV106" s="972"/>
      <c r="AW106" s="972"/>
      <c r="AX106" s="972"/>
      <c r="AY106" s="973"/>
      <c r="AZ106" s="974"/>
      <c r="BA106" s="975"/>
      <c r="BB106" s="976"/>
      <c r="BC106" s="977"/>
      <c r="BD106" s="973"/>
      <c r="BE106" s="973"/>
      <c r="BF106" s="973"/>
      <c r="BG106" s="973"/>
      <c r="BH106" s="966"/>
      <c r="BI106" s="972"/>
      <c r="BJ106" s="972"/>
      <c r="BK106" s="972"/>
      <c r="BL106" s="973"/>
      <c r="BM106" s="974"/>
      <c r="BN106" s="975"/>
      <c r="BO106" s="976"/>
      <c r="BP106" s="977"/>
      <c r="BQ106" s="973"/>
      <c r="BR106" s="973"/>
      <c r="BS106" s="973"/>
      <c r="BT106" s="973"/>
      <c r="BU106" s="966"/>
      <c r="BV106" s="972"/>
      <c r="BW106" s="972"/>
      <c r="BX106" s="972"/>
      <c r="BY106" s="973"/>
      <c r="BZ106" s="974"/>
      <c r="CA106" s="975"/>
      <c r="CB106" s="976"/>
      <c r="CC106" s="977"/>
      <c r="CD106" s="973"/>
      <c r="CE106" s="973"/>
      <c r="CF106" s="973"/>
      <c r="CG106" s="973"/>
      <c r="CH106" s="966"/>
      <c r="CI106" s="972"/>
      <c r="CJ106" s="972"/>
      <c r="CK106" s="972"/>
      <c r="CL106" s="973"/>
      <c r="CM106" s="974"/>
      <c r="CN106" s="975"/>
      <c r="CO106" s="976"/>
      <c r="CP106" s="977"/>
      <c r="CQ106" s="973"/>
      <c r="CR106" s="973"/>
      <c r="CS106" s="973"/>
      <c r="CT106" s="973"/>
      <c r="CU106" s="966"/>
      <c r="CV106" s="972"/>
      <c r="CW106" s="972"/>
      <c r="CX106" s="972"/>
      <c r="CY106" s="973"/>
      <c r="CZ106" s="974"/>
      <c r="DA106" s="975"/>
      <c r="DB106" s="976"/>
      <c r="DC106" s="977"/>
      <c r="DD106" s="973"/>
      <c r="DE106" s="973"/>
      <c r="DF106" s="973"/>
      <c r="DG106" s="973"/>
      <c r="DH106" s="966"/>
      <c r="DI106" s="972"/>
      <c r="DJ106" s="972"/>
      <c r="DK106" s="972"/>
      <c r="DL106" s="973"/>
      <c r="DM106" s="974"/>
      <c r="DN106" s="975"/>
      <c r="DO106" s="976"/>
      <c r="DP106" s="977"/>
      <c r="DQ106" s="973"/>
      <c r="DR106" s="973"/>
      <c r="DS106" s="973"/>
      <c r="DT106" s="973"/>
      <c r="DU106" s="966"/>
      <c r="DV106" s="972"/>
      <c r="DW106" s="972"/>
      <c r="DX106" s="972"/>
      <c r="DY106" s="973"/>
      <c r="DZ106" s="974"/>
      <c r="EA106" s="975"/>
      <c r="EB106" s="976"/>
      <c r="EC106" s="977"/>
      <c r="ED106" s="973"/>
      <c r="EE106" s="973"/>
      <c r="EF106" s="973"/>
      <c r="EG106" s="973"/>
      <c r="EH106" s="966"/>
      <c r="EI106" s="972"/>
      <c r="EJ106" s="972"/>
      <c r="EK106" s="972"/>
      <c r="EL106" s="973"/>
      <c r="EM106" s="974"/>
      <c r="EN106" s="975"/>
      <c r="EO106" s="976"/>
      <c r="EP106" s="977"/>
      <c r="EQ106" s="973"/>
      <c r="ER106" s="973"/>
      <c r="ES106" s="973"/>
      <c r="ET106" s="973"/>
      <c r="EU106" s="966"/>
      <c r="EV106" s="972"/>
      <c r="EW106" s="972"/>
      <c r="EX106" s="972"/>
      <c r="EY106" s="973"/>
      <c r="EZ106" s="974"/>
      <c r="FA106" s="975"/>
      <c r="FB106" s="976"/>
      <c r="FC106" s="977"/>
      <c r="FD106" s="973"/>
      <c r="FE106" s="973"/>
      <c r="FF106" s="973"/>
      <c r="FG106" s="973"/>
      <c r="FH106" s="966"/>
      <c r="FI106" s="972"/>
      <c r="FJ106" s="972"/>
      <c r="FK106" s="972"/>
      <c r="FL106" s="973"/>
      <c r="FM106" s="974"/>
      <c r="FN106" s="975"/>
      <c r="FO106" s="976"/>
      <c r="FP106" s="977"/>
      <c r="FQ106" s="973"/>
      <c r="FR106" s="973"/>
      <c r="FS106" s="973"/>
      <c r="FT106" s="973"/>
      <c r="FU106" s="966"/>
      <c r="FV106" s="972"/>
      <c r="FW106" s="972"/>
      <c r="FX106" s="972"/>
      <c r="FY106" s="973"/>
      <c r="FZ106" s="974"/>
      <c r="GA106" s="975"/>
      <c r="GB106" s="976"/>
      <c r="GC106" s="977"/>
      <c r="GD106" s="973"/>
      <c r="GE106" s="973"/>
      <c r="GF106" s="973"/>
      <c r="GG106" s="973"/>
      <c r="GH106" s="966"/>
      <c r="GI106" s="972"/>
      <c r="GJ106" s="972"/>
      <c r="GK106" s="972"/>
      <c r="GL106" s="973"/>
      <c r="GM106" s="974"/>
      <c r="GN106" s="975"/>
      <c r="GO106" s="976"/>
      <c r="GP106" s="977"/>
      <c r="GQ106" s="973"/>
      <c r="GR106" s="973"/>
      <c r="GS106" s="973"/>
      <c r="GT106" s="973"/>
      <c r="GU106" s="966"/>
      <c r="GV106" s="972"/>
      <c r="GW106" s="972"/>
      <c r="GX106" s="972"/>
      <c r="GY106" s="973"/>
      <c r="GZ106" s="974"/>
      <c r="HA106" s="975"/>
      <c r="HB106" s="976"/>
      <c r="HC106" s="977"/>
      <c r="HD106" s="973"/>
      <c r="HE106" s="973"/>
      <c r="HF106" s="973"/>
      <c r="HG106" s="973"/>
      <c r="HH106" s="966"/>
      <c r="HI106" s="972"/>
      <c r="HJ106" s="972"/>
      <c r="HK106" s="972"/>
      <c r="HL106" s="973"/>
      <c r="HM106" s="974"/>
      <c r="HN106" s="975"/>
      <c r="HO106" s="976"/>
      <c r="HP106" s="977"/>
      <c r="HQ106" s="973"/>
      <c r="HR106" s="973"/>
      <c r="HS106" s="973"/>
      <c r="HT106" s="973"/>
      <c r="HU106" s="966"/>
      <c r="HV106" s="972"/>
      <c r="HW106" s="972"/>
      <c r="HX106" s="972"/>
      <c r="HY106" s="973"/>
      <c r="HZ106" s="974"/>
      <c r="IA106" s="975"/>
      <c r="IB106" s="976"/>
      <c r="IC106" s="977"/>
      <c r="ID106" s="973"/>
      <c r="IE106" s="973"/>
      <c r="IF106" s="973"/>
      <c r="IG106" s="973"/>
      <c r="IH106" s="966"/>
      <c r="II106" s="972"/>
      <c r="IJ106" s="972"/>
      <c r="IK106" s="972"/>
      <c r="IL106" s="973"/>
      <c r="IM106" s="974"/>
      <c r="IN106" s="975"/>
      <c r="IO106" s="976"/>
      <c r="IP106" s="977"/>
      <c r="IQ106" s="973"/>
      <c r="IR106" s="973"/>
      <c r="IS106" s="973"/>
      <c r="IT106" s="973"/>
      <c r="IU106" s="966"/>
      <c r="IV106" s="972"/>
      <c r="IW106" s="972"/>
      <c r="IX106" s="972"/>
      <c r="IY106" s="973"/>
      <c r="IZ106" s="974"/>
      <c r="JA106" s="975"/>
      <c r="JB106" s="976"/>
      <c r="JC106" s="977"/>
      <c r="JD106" s="973"/>
      <c r="JE106" s="973"/>
      <c r="JF106" s="973"/>
      <c r="JG106" s="973"/>
      <c r="JH106" s="966"/>
      <c r="JI106" s="972"/>
      <c r="JJ106" s="972"/>
      <c r="JK106" s="972"/>
      <c r="JL106" s="973"/>
      <c r="JM106" s="974"/>
      <c r="JN106" s="975"/>
      <c r="JO106" s="976"/>
      <c r="JP106" s="977"/>
      <c r="JQ106" s="973"/>
      <c r="JR106" s="973"/>
      <c r="JS106" s="973"/>
      <c r="JT106" s="973"/>
      <c r="JU106" s="966"/>
      <c r="JV106" s="972"/>
      <c r="JW106" s="972"/>
      <c r="JX106" s="972"/>
      <c r="JY106" s="973"/>
      <c r="JZ106" s="974"/>
      <c r="KA106" s="975"/>
      <c r="KB106" s="976"/>
      <c r="KC106" s="977"/>
      <c r="KD106" s="973"/>
      <c r="KE106" s="973"/>
      <c r="KF106" s="973"/>
      <c r="KG106" s="973"/>
      <c r="KH106" s="966"/>
      <c r="KI106" s="972"/>
      <c r="KJ106" s="972"/>
      <c r="KK106" s="972"/>
      <c r="KL106" s="973"/>
      <c r="KM106" s="974"/>
      <c r="KN106" s="975"/>
      <c r="KO106" s="976"/>
      <c r="KP106" s="977"/>
      <c r="KQ106" s="973"/>
      <c r="KR106" s="973"/>
      <c r="KS106" s="973"/>
      <c r="KT106" s="973"/>
      <c r="KU106" s="966"/>
      <c r="KV106" s="972"/>
      <c r="KW106" s="972"/>
      <c r="KX106" s="972"/>
      <c r="KY106" s="973"/>
      <c r="KZ106" s="974"/>
      <c r="LA106" s="975"/>
      <c r="LB106" s="976"/>
      <c r="LC106" s="977"/>
      <c r="LD106" s="973"/>
      <c r="LE106" s="973"/>
      <c r="LF106" s="973"/>
      <c r="LG106" s="973"/>
      <c r="LH106" s="966"/>
      <c r="LI106" s="972"/>
      <c r="LJ106" s="972"/>
      <c r="LK106" s="972"/>
      <c r="LL106" s="973"/>
      <c r="LM106" s="974"/>
      <c r="LN106" s="975"/>
      <c r="LO106" s="976"/>
      <c r="LP106" s="977"/>
      <c r="LQ106" s="973"/>
      <c r="LR106" s="973"/>
      <c r="LS106" s="973"/>
      <c r="LT106" s="973"/>
      <c r="LU106" s="966"/>
      <c r="LV106" s="972"/>
      <c r="LW106" s="972"/>
      <c r="LX106" s="972"/>
      <c r="LY106" s="973"/>
      <c r="LZ106" s="974"/>
      <c r="MA106" s="975"/>
      <c r="MB106" s="976"/>
      <c r="MC106" s="977"/>
      <c r="MD106" s="973"/>
      <c r="ME106" s="973"/>
      <c r="MF106" s="973"/>
      <c r="MG106" s="973"/>
    </row>
    <row r="107" spans="1:345" s="22" customFormat="1">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4"/>
      <c r="N107" s="265"/>
      <c r="O107" s="250"/>
      <c r="P107" s="250"/>
      <c r="Q107" s="251">
        <f t="shared" ref="Q107:Q114" si="58">COUNTIF(I$107:I$114,I107)+COUNTIF(K$107:K$114,I107)</f>
        <v>0</v>
      </c>
      <c r="R107" s="251">
        <f t="shared" ref="R107:R114" si="59">COUNTIF(I$107:I$114,K107)+COUNTIF(K$107:K$114,K107)</f>
        <v>0</v>
      </c>
      <c r="S107" s="251"/>
      <c r="T107" s="991" t="str">
        <f t="shared" ref="T107:T114" si="60">IF(OR(I107&lt;&gt;"",K107&lt;&gt;""),IF(Q107&lt;&gt;1,0,COUNTIF($B$107:$B$114,I107)+COUNTIF($D$107:$D$114,I107))+IF(R107&lt;&gt;1,0,COUNTIF($B$107:$B$114,K107)+COUNTIF($D$107:$D$114,K107)),"")</f>
        <v/>
      </c>
      <c r="U107" s="966"/>
      <c r="V107" s="978"/>
      <c r="W107" s="973"/>
      <c r="X107" s="978"/>
      <c r="Y107" s="973"/>
      <c r="Z107" s="979"/>
      <c r="AA107" s="979"/>
      <c r="AB107" s="966"/>
      <c r="AC107" s="966"/>
      <c r="AD107" s="980"/>
      <c r="AE107" s="980"/>
      <c r="AF107" s="980"/>
      <c r="AG107" s="966"/>
      <c r="AH107" s="966"/>
      <c r="AI107" s="978"/>
      <c r="AJ107" s="973"/>
      <c r="AK107" s="978"/>
      <c r="AL107" s="973"/>
      <c r="AM107" s="979"/>
      <c r="AN107" s="979"/>
      <c r="AO107" s="966"/>
      <c r="AP107" s="966"/>
      <c r="AQ107" s="980"/>
      <c r="AR107" s="980"/>
      <c r="AS107" s="980"/>
      <c r="AT107" s="966"/>
      <c r="AU107" s="966"/>
      <c r="AV107" s="978"/>
      <c r="AW107" s="973"/>
      <c r="AX107" s="978"/>
      <c r="AY107" s="973"/>
      <c r="AZ107" s="979"/>
      <c r="BA107" s="979"/>
      <c r="BB107" s="966"/>
      <c r="BC107" s="966"/>
      <c r="BD107" s="980"/>
      <c r="BE107" s="980"/>
      <c r="BF107" s="980"/>
      <c r="BG107" s="966"/>
      <c r="BH107" s="966"/>
      <c r="BI107" s="978"/>
      <c r="BJ107" s="973"/>
      <c r="BK107" s="978"/>
      <c r="BL107" s="973"/>
      <c r="BM107" s="979"/>
      <c r="BN107" s="979"/>
      <c r="BO107" s="966"/>
      <c r="BP107" s="966"/>
      <c r="BQ107" s="980"/>
      <c r="BR107" s="980"/>
      <c r="BS107" s="980"/>
      <c r="BT107" s="966"/>
      <c r="BU107" s="966"/>
      <c r="BV107" s="978"/>
      <c r="BW107" s="973"/>
      <c r="BX107" s="978"/>
      <c r="BY107" s="973"/>
      <c r="BZ107" s="979"/>
      <c r="CA107" s="979"/>
      <c r="CB107" s="966"/>
      <c r="CC107" s="966"/>
      <c r="CD107" s="980"/>
      <c r="CE107" s="980"/>
      <c r="CF107" s="980"/>
      <c r="CG107" s="966"/>
      <c r="CH107" s="966"/>
      <c r="CI107" s="978"/>
      <c r="CJ107" s="973"/>
      <c r="CK107" s="978"/>
      <c r="CL107" s="973"/>
      <c r="CM107" s="979"/>
      <c r="CN107" s="979"/>
      <c r="CO107" s="966"/>
      <c r="CP107" s="966"/>
      <c r="CQ107" s="980"/>
      <c r="CR107" s="980"/>
      <c r="CS107" s="980"/>
      <c r="CT107" s="966"/>
      <c r="CU107" s="966"/>
      <c r="CV107" s="978"/>
      <c r="CW107" s="973"/>
      <c r="CX107" s="978"/>
      <c r="CY107" s="973"/>
      <c r="CZ107" s="979"/>
      <c r="DA107" s="979"/>
      <c r="DB107" s="966"/>
      <c r="DC107" s="966"/>
      <c r="DD107" s="980"/>
      <c r="DE107" s="980"/>
      <c r="DF107" s="980"/>
      <c r="DG107" s="966"/>
      <c r="DH107" s="966"/>
      <c r="DI107" s="978"/>
      <c r="DJ107" s="973"/>
      <c r="DK107" s="978"/>
      <c r="DL107" s="973"/>
      <c r="DM107" s="979"/>
      <c r="DN107" s="979"/>
      <c r="DO107" s="966"/>
      <c r="DP107" s="966"/>
      <c r="DQ107" s="980"/>
      <c r="DR107" s="980"/>
      <c r="DS107" s="980"/>
      <c r="DT107" s="966"/>
      <c r="DU107" s="966"/>
      <c r="DV107" s="978"/>
      <c r="DW107" s="973"/>
      <c r="DX107" s="978"/>
      <c r="DY107" s="973"/>
      <c r="DZ107" s="979"/>
      <c r="EA107" s="979"/>
      <c r="EB107" s="966"/>
      <c r="EC107" s="966"/>
      <c r="ED107" s="980"/>
      <c r="EE107" s="980"/>
      <c r="EF107" s="980"/>
      <c r="EG107" s="966"/>
      <c r="EH107" s="966"/>
      <c r="EI107" s="978"/>
      <c r="EJ107" s="973"/>
      <c r="EK107" s="978"/>
      <c r="EL107" s="973"/>
      <c r="EM107" s="979"/>
      <c r="EN107" s="979"/>
      <c r="EO107" s="966"/>
      <c r="EP107" s="966"/>
      <c r="EQ107" s="980"/>
      <c r="ER107" s="980"/>
      <c r="ES107" s="980"/>
      <c r="ET107" s="966"/>
      <c r="EU107" s="966"/>
      <c r="EV107" s="978"/>
      <c r="EW107" s="973"/>
      <c r="EX107" s="978"/>
      <c r="EY107" s="973"/>
      <c r="EZ107" s="979"/>
      <c r="FA107" s="979"/>
      <c r="FB107" s="966"/>
      <c r="FC107" s="966"/>
      <c r="FD107" s="980"/>
      <c r="FE107" s="980"/>
      <c r="FF107" s="980"/>
      <c r="FG107" s="966"/>
      <c r="FH107" s="966"/>
      <c r="FI107" s="978"/>
      <c r="FJ107" s="973"/>
      <c r="FK107" s="978"/>
      <c r="FL107" s="973"/>
      <c r="FM107" s="979"/>
      <c r="FN107" s="979"/>
      <c r="FO107" s="966"/>
      <c r="FP107" s="966"/>
      <c r="FQ107" s="980"/>
      <c r="FR107" s="980"/>
      <c r="FS107" s="980"/>
      <c r="FT107" s="966"/>
      <c r="FU107" s="966"/>
      <c r="FV107" s="978"/>
      <c r="FW107" s="973"/>
      <c r="FX107" s="978"/>
      <c r="FY107" s="973"/>
      <c r="FZ107" s="979"/>
      <c r="GA107" s="979"/>
      <c r="GB107" s="966"/>
      <c r="GC107" s="966"/>
      <c r="GD107" s="980"/>
      <c r="GE107" s="980"/>
      <c r="GF107" s="980"/>
      <c r="GG107" s="966"/>
      <c r="GH107" s="966"/>
      <c r="GI107" s="978"/>
      <c r="GJ107" s="973"/>
      <c r="GK107" s="978"/>
      <c r="GL107" s="973"/>
      <c r="GM107" s="979"/>
      <c r="GN107" s="979"/>
      <c r="GO107" s="966"/>
      <c r="GP107" s="966"/>
      <c r="GQ107" s="980"/>
      <c r="GR107" s="980"/>
      <c r="GS107" s="980"/>
      <c r="GT107" s="966"/>
      <c r="GU107" s="966"/>
      <c r="GV107" s="978"/>
      <c r="GW107" s="973"/>
      <c r="GX107" s="978"/>
      <c r="GY107" s="973"/>
      <c r="GZ107" s="979"/>
      <c r="HA107" s="979"/>
      <c r="HB107" s="966"/>
      <c r="HC107" s="966"/>
      <c r="HD107" s="980"/>
      <c r="HE107" s="980"/>
      <c r="HF107" s="980"/>
      <c r="HG107" s="966"/>
      <c r="HH107" s="966"/>
      <c r="HI107" s="978"/>
      <c r="HJ107" s="973"/>
      <c r="HK107" s="978"/>
      <c r="HL107" s="973"/>
      <c r="HM107" s="979"/>
      <c r="HN107" s="979"/>
      <c r="HO107" s="966"/>
      <c r="HP107" s="966"/>
      <c r="HQ107" s="980"/>
      <c r="HR107" s="980"/>
      <c r="HS107" s="980"/>
      <c r="HT107" s="966"/>
      <c r="HU107" s="966"/>
      <c r="HV107" s="978"/>
      <c r="HW107" s="973"/>
      <c r="HX107" s="978"/>
      <c r="HY107" s="973"/>
      <c r="HZ107" s="979"/>
      <c r="IA107" s="979"/>
      <c r="IB107" s="966"/>
      <c r="IC107" s="966"/>
      <c r="ID107" s="980"/>
      <c r="IE107" s="980"/>
      <c r="IF107" s="980"/>
      <c r="IG107" s="966"/>
      <c r="IH107" s="966"/>
      <c r="II107" s="978"/>
      <c r="IJ107" s="973"/>
      <c r="IK107" s="978"/>
      <c r="IL107" s="973"/>
      <c r="IM107" s="979"/>
      <c r="IN107" s="979"/>
      <c r="IO107" s="966"/>
      <c r="IP107" s="966"/>
      <c r="IQ107" s="980"/>
      <c r="IR107" s="980"/>
      <c r="IS107" s="980"/>
      <c r="IT107" s="966"/>
      <c r="IU107" s="966"/>
      <c r="IV107" s="978"/>
      <c r="IW107" s="973"/>
      <c r="IX107" s="978"/>
      <c r="IY107" s="973"/>
      <c r="IZ107" s="979"/>
      <c r="JA107" s="979"/>
      <c r="JB107" s="966"/>
      <c r="JC107" s="966"/>
      <c r="JD107" s="980"/>
      <c r="JE107" s="980"/>
      <c r="JF107" s="980"/>
      <c r="JG107" s="966"/>
      <c r="JH107" s="966"/>
      <c r="JI107" s="978"/>
      <c r="JJ107" s="973"/>
      <c r="JK107" s="978"/>
      <c r="JL107" s="973"/>
      <c r="JM107" s="979"/>
      <c r="JN107" s="979"/>
      <c r="JO107" s="966"/>
      <c r="JP107" s="966"/>
      <c r="JQ107" s="980"/>
      <c r="JR107" s="980"/>
      <c r="JS107" s="980"/>
      <c r="JT107" s="966"/>
      <c r="JU107" s="966"/>
      <c r="JV107" s="978"/>
      <c r="JW107" s="973"/>
      <c r="JX107" s="978"/>
      <c r="JY107" s="973"/>
      <c r="JZ107" s="979"/>
      <c r="KA107" s="979"/>
      <c r="KB107" s="966"/>
      <c r="KC107" s="966"/>
      <c r="KD107" s="980"/>
      <c r="KE107" s="980"/>
      <c r="KF107" s="980"/>
      <c r="KG107" s="966"/>
      <c r="KH107" s="966"/>
      <c r="KI107" s="978"/>
      <c r="KJ107" s="973"/>
      <c r="KK107" s="978"/>
      <c r="KL107" s="973"/>
      <c r="KM107" s="979"/>
      <c r="KN107" s="979"/>
      <c r="KO107" s="966"/>
      <c r="KP107" s="966"/>
      <c r="KQ107" s="980"/>
      <c r="KR107" s="980"/>
      <c r="KS107" s="980"/>
      <c r="KT107" s="966"/>
      <c r="KU107" s="966"/>
      <c r="KV107" s="978"/>
      <c r="KW107" s="973"/>
      <c r="KX107" s="978"/>
      <c r="KY107" s="973"/>
      <c r="KZ107" s="979"/>
      <c r="LA107" s="979"/>
      <c r="LB107" s="966"/>
      <c r="LC107" s="966"/>
      <c r="LD107" s="980"/>
      <c r="LE107" s="980"/>
      <c r="LF107" s="980"/>
      <c r="LG107" s="966"/>
      <c r="LH107" s="966"/>
      <c r="LI107" s="978"/>
      <c r="LJ107" s="973"/>
      <c r="LK107" s="978"/>
      <c r="LL107" s="973"/>
      <c r="LM107" s="979"/>
      <c r="LN107" s="979"/>
      <c r="LO107" s="966"/>
      <c r="LP107" s="966"/>
      <c r="LQ107" s="980"/>
      <c r="LR107" s="980"/>
      <c r="LS107" s="980"/>
      <c r="LT107" s="966"/>
      <c r="LU107" s="966"/>
      <c r="LV107" s="978"/>
      <c r="LW107" s="973"/>
      <c r="LX107" s="978"/>
      <c r="LY107" s="973"/>
      <c r="LZ107" s="979"/>
      <c r="MA107" s="979"/>
      <c r="MB107" s="966"/>
      <c r="MC107" s="966"/>
      <c r="MD107" s="980"/>
      <c r="ME107" s="980"/>
      <c r="MF107" s="980"/>
      <c r="MG107" s="966"/>
    </row>
    <row r="108" spans="1:345" s="22" customFormat="1">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6"/>
      <c r="N108" s="992"/>
      <c r="O108" s="993"/>
      <c r="P108" s="993"/>
      <c r="Q108" s="994">
        <f t="shared" si="58"/>
        <v>0</v>
      </c>
      <c r="R108" s="994">
        <f t="shared" si="59"/>
        <v>0</v>
      </c>
      <c r="S108" s="994"/>
      <c r="T108" s="991" t="str">
        <f t="shared" si="60"/>
        <v/>
      </c>
      <c r="U108" s="966"/>
      <c r="V108" s="978"/>
      <c r="W108" s="973"/>
      <c r="X108" s="978"/>
      <c r="Y108" s="973"/>
      <c r="Z108" s="979"/>
      <c r="AA108" s="979"/>
      <c r="AB108" s="966"/>
      <c r="AC108" s="966"/>
      <c r="AD108" s="980"/>
      <c r="AE108" s="980"/>
      <c r="AF108" s="980"/>
      <c r="AG108" s="966"/>
      <c r="AH108" s="966"/>
      <c r="AI108" s="978"/>
      <c r="AJ108" s="973"/>
      <c r="AK108" s="978"/>
      <c r="AL108" s="973"/>
      <c r="AM108" s="979"/>
      <c r="AN108" s="979"/>
      <c r="AO108" s="966"/>
      <c r="AP108" s="966"/>
      <c r="AQ108" s="980"/>
      <c r="AR108" s="980"/>
      <c r="AS108" s="980"/>
      <c r="AT108" s="966"/>
      <c r="AU108" s="966"/>
      <c r="AV108" s="978"/>
      <c r="AW108" s="973"/>
      <c r="AX108" s="978"/>
      <c r="AY108" s="973"/>
      <c r="AZ108" s="979"/>
      <c r="BA108" s="979"/>
      <c r="BB108" s="966"/>
      <c r="BC108" s="966"/>
      <c r="BD108" s="980"/>
      <c r="BE108" s="980"/>
      <c r="BF108" s="980"/>
      <c r="BG108" s="966"/>
      <c r="BH108" s="966"/>
      <c r="BI108" s="978"/>
      <c r="BJ108" s="973"/>
      <c r="BK108" s="978"/>
      <c r="BL108" s="973"/>
      <c r="BM108" s="979"/>
      <c r="BN108" s="979"/>
      <c r="BO108" s="966"/>
      <c r="BP108" s="966"/>
      <c r="BQ108" s="980"/>
      <c r="BR108" s="980"/>
      <c r="BS108" s="980"/>
      <c r="BT108" s="966"/>
      <c r="BU108" s="966"/>
      <c r="BV108" s="978"/>
      <c r="BW108" s="973"/>
      <c r="BX108" s="978"/>
      <c r="BY108" s="973"/>
      <c r="BZ108" s="979"/>
      <c r="CA108" s="979"/>
      <c r="CB108" s="966"/>
      <c r="CC108" s="966"/>
      <c r="CD108" s="980"/>
      <c r="CE108" s="980"/>
      <c r="CF108" s="980"/>
      <c r="CG108" s="966"/>
      <c r="CH108" s="966"/>
      <c r="CI108" s="978"/>
      <c r="CJ108" s="973"/>
      <c r="CK108" s="978"/>
      <c r="CL108" s="973"/>
      <c r="CM108" s="979"/>
      <c r="CN108" s="979"/>
      <c r="CO108" s="966"/>
      <c r="CP108" s="966"/>
      <c r="CQ108" s="980"/>
      <c r="CR108" s="980"/>
      <c r="CS108" s="980"/>
      <c r="CT108" s="966"/>
      <c r="CU108" s="966"/>
      <c r="CV108" s="978"/>
      <c r="CW108" s="973"/>
      <c r="CX108" s="978"/>
      <c r="CY108" s="973"/>
      <c r="CZ108" s="979"/>
      <c r="DA108" s="979"/>
      <c r="DB108" s="966"/>
      <c r="DC108" s="966"/>
      <c r="DD108" s="980"/>
      <c r="DE108" s="980"/>
      <c r="DF108" s="980"/>
      <c r="DG108" s="966"/>
      <c r="DH108" s="966"/>
      <c r="DI108" s="978"/>
      <c r="DJ108" s="973"/>
      <c r="DK108" s="978"/>
      <c r="DL108" s="973"/>
      <c r="DM108" s="979"/>
      <c r="DN108" s="979"/>
      <c r="DO108" s="966"/>
      <c r="DP108" s="966"/>
      <c r="DQ108" s="980"/>
      <c r="DR108" s="980"/>
      <c r="DS108" s="980"/>
      <c r="DT108" s="966"/>
      <c r="DU108" s="966"/>
      <c r="DV108" s="978"/>
      <c r="DW108" s="973"/>
      <c r="DX108" s="978"/>
      <c r="DY108" s="973"/>
      <c r="DZ108" s="979"/>
      <c r="EA108" s="979"/>
      <c r="EB108" s="966"/>
      <c r="EC108" s="966"/>
      <c r="ED108" s="980"/>
      <c r="EE108" s="980"/>
      <c r="EF108" s="980"/>
      <c r="EG108" s="966"/>
      <c r="EH108" s="966"/>
      <c r="EI108" s="978"/>
      <c r="EJ108" s="973"/>
      <c r="EK108" s="978"/>
      <c r="EL108" s="973"/>
      <c r="EM108" s="979"/>
      <c r="EN108" s="979"/>
      <c r="EO108" s="966"/>
      <c r="EP108" s="966"/>
      <c r="EQ108" s="980"/>
      <c r="ER108" s="980"/>
      <c r="ES108" s="980"/>
      <c r="ET108" s="966"/>
      <c r="EU108" s="966"/>
      <c r="EV108" s="978"/>
      <c r="EW108" s="973"/>
      <c r="EX108" s="978"/>
      <c r="EY108" s="973"/>
      <c r="EZ108" s="979"/>
      <c r="FA108" s="979"/>
      <c r="FB108" s="966"/>
      <c r="FC108" s="966"/>
      <c r="FD108" s="980"/>
      <c r="FE108" s="980"/>
      <c r="FF108" s="980"/>
      <c r="FG108" s="966"/>
      <c r="FH108" s="966"/>
      <c r="FI108" s="978"/>
      <c r="FJ108" s="973"/>
      <c r="FK108" s="978"/>
      <c r="FL108" s="973"/>
      <c r="FM108" s="979"/>
      <c r="FN108" s="979"/>
      <c r="FO108" s="966"/>
      <c r="FP108" s="966"/>
      <c r="FQ108" s="980"/>
      <c r="FR108" s="980"/>
      <c r="FS108" s="980"/>
      <c r="FT108" s="966"/>
      <c r="FU108" s="966"/>
      <c r="FV108" s="978"/>
      <c r="FW108" s="973"/>
      <c r="FX108" s="978"/>
      <c r="FY108" s="973"/>
      <c r="FZ108" s="979"/>
      <c r="GA108" s="979"/>
      <c r="GB108" s="966"/>
      <c r="GC108" s="966"/>
      <c r="GD108" s="980"/>
      <c r="GE108" s="980"/>
      <c r="GF108" s="980"/>
      <c r="GG108" s="966"/>
      <c r="GH108" s="966"/>
      <c r="GI108" s="978"/>
      <c r="GJ108" s="973"/>
      <c r="GK108" s="978"/>
      <c r="GL108" s="973"/>
      <c r="GM108" s="979"/>
      <c r="GN108" s="979"/>
      <c r="GO108" s="966"/>
      <c r="GP108" s="966"/>
      <c r="GQ108" s="980"/>
      <c r="GR108" s="980"/>
      <c r="GS108" s="980"/>
      <c r="GT108" s="966"/>
      <c r="GU108" s="966"/>
      <c r="GV108" s="978"/>
      <c r="GW108" s="973"/>
      <c r="GX108" s="978"/>
      <c r="GY108" s="973"/>
      <c r="GZ108" s="979"/>
      <c r="HA108" s="979"/>
      <c r="HB108" s="966"/>
      <c r="HC108" s="966"/>
      <c r="HD108" s="980"/>
      <c r="HE108" s="980"/>
      <c r="HF108" s="980"/>
      <c r="HG108" s="966"/>
      <c r="HH108" s="966"/>
      <c r="HI108" s="978"/>
      <c r="HJ108" s="973"/>
      <c r="HK108" s="978"/>
      <c r="HL108" s="973"/>
      <c r="HM108" s="979"/>
      <c r="HN108" s="979"/>
      <c r="HO108" s="966"/>
      <c r="HP108" s="966"/>
      <c r="HQ108" s="980"/>
      <c r="HR108" s="980"/>
      <c r="HS108" s="980"/>
      <c r="HT108" s="966"/>
      <c r="HU108" s="966"/>
      <c r="HV108" s="978"/>
      <c r="HW108" s="973"/>
      <c r="HX108" s="978"/>
      <c r="HY108" s="973"/>
      <c r="HZ108" s="979"/>
      <c r="IA108" s="979"/>
      <c r="IB108" s="966"/>
      <c r="IC108" s="966"/>
      <c r="ID108" s="980"/>
      <c r="IE108" s="980"/>
      <c r="IF108" s="980"/>
      <c r="IG108" s="966"/>
      <c r="IH108" s="966"/>
      <c r="II108" s="978"/>
      <c r="IJ108" s="973"/>
      <c r="IK108" s="978"/>
      <c r="IL108" s="973"/>
      <c r="IM108" s="979"/>
      <c r="IN108" s="979"/>
      <c r="IO108" s="966"/>
      <c r="IP108" s="966"/>
      <c r="IQ108" s="980"/>
      <c r="IR108" s="980"/>
      <c r="IS108" s="980"/>
      <c r="IT108" s="966"/>
      <c r="IU108" s="966"/>
      <c r="IV108" s="978"/>
      <c r="IW108" s="973"/>
      <c r="IX108" s="978"/>
      <c r="IY108" s="973"/>
      <c r="IZ108" s="979"/>
      <c r="JA108" s="979"/>
      <c r="JB108" s="966"/>
      <c r="JC108" s="966"/>
      <c r="JD108" s="980"/>
      <c r="JE108" s="980"/>
      <c r="JF108" s="980"/>
      <c r="JG108" s="966"/>
      <c r="JH108" s="966"/>
      <c r="JI108" s="978"/>
      <c r="JJ108" s="973"/>
      <c r="JK108" s="978"/>
      <c r="JL108" s="973"/>
      <c r="JM108" s="979"/>
      <c r="JN108" s="979"/>
      <c r="JO108" s="966"/>
      <c r="JP108" s="966"/>
      <c r="JQ108" s="980"/>
      <c r="JR108" s="980"/>
      <c r="JS108" s="980"/>
      <c r="JT108" s="966"/>
      <c r="JU108" s="966"/>
      <c r="JV108" s="978"/>
      <c r="JW108" s="973"/>
      <c r="JX108" s="978"/>
      <c r="JY108" s="973"/>
      <c r="JZ108" s="979"/>
      <c r="KA108" s="979"/>
      <c r="KB108" s="966"/>
      <c r="KC108" s="966"/>
      <c r="KD108" s="980"/>
      <c r="KE108" s="980"/>
      <c r="KF108" s="980"/>
      <c r="KG108" s="966"/>
      <c r="KH108" s="966"/>
      <c r="KI108" s="978"/>
      <c r="KJ108" s="973"/>
      <c r="KK108" s="978"/>
      <c r="KL108" s="973"/>
      <c r="KM108" s="979"/>
      <c r="KN108" s="979"/>
      <c r="KO108" s="966"/>
      <c r="KP108" s="966"/>
      <c r="KQ108" s="980"/>
      <c r="KR108" s="980"/>
      <c r="KS108" s="980"/>
      <c r="KT108" s="966"/>
      <c r="KU108" s="966"/>
      <c r="KV108" s="978"/>
      <c r="KW108" s="973"/>
      <c r="KX108" s="978"/>
      <c r="KY108" s="973"/>
      <c r="KZ108" s="979"/>
      <c r="LA108" s="979"/>
      <c r="LB108" s="966"/>
      <c r="LC108" s="966"/>
      <c r="LD108" s="980"/>
      <c r="LE108" s="980"/>
      <c r="LF108" s="980"/>
      <c r="LG108" s="966"/>
      <c r="LH108" s="966"/>
      <c r="LI108" s="978"/>
      <c r="LJ108" s="973"/>
      <c r="LK108" s="978"/>
      <c r="LL108" s="973"/>
      <c r="LM108" s="979"/>
      <c r="LN108" s="979"/>
      <c r="LO108" s="966"/>
      <c r="LP108" s="966"/>
      <c r="LQ108" s="980"/>
      <c r="LR108" s="980"/>
      <c r="LS108" s="980"/>
      <c r="LT108" s="966"/>
      <c r="LU108" s="966"/>
      <c r="LV108" s="978"/>
      <c r="LW108" s="973"/>
      <c r="LX108" s="978"/>
      <c r="LY108" s="973"/>
      <c r="LZ108" s="979"/>
      <c r="MA108" s="979"/>
      <c r="MB108" s="966"/>
      <c r="MC108" s="966"/>
      <c r="MD108" s="980"/>
      <c r="ME108" s="980"/>
      <c r="MF108" s="980"/>
      <c r="MG108" s="966"/>
    </row>
    <row r="109" spans="1:345" s="22" customFormat="1">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6"/>
      <c r="N109" s="992"/>
      <c r="O109" s="993"/>
      <c r="P109" s="993"/>
      <c r="Q109" s="994">
        <f t="shared" si="58"/>
        <v>0</v>
      </c>
      <c r="R109" s="994">
        <f t="shared" si="59"/>
        <v>0</v>
      </c>
      <c r="S109" s="994"/>
      <c r="T109" s="991" t="str">
        <f t="shared" si="60"/>
        <v/>
      </c>
      <c r="U109" s="966"/>
      <c r="V109" s="978"/>
      <c r="W109" s="973"/>
      <c r="X109" s="978"/>
      <c r="Y109" s="973"/>
      <c r="Z109" s="979"/>
      <c r="AA109" s="979"/>
      <c r="AB109" s="966"/>
      <c r="AC109" s="966"/>
      <c r="AD109" s="980"/>
      <c r="AE109" s="980"/>
      <c r="AF109" s="980"/>
      <c r="AG109" s="966"/>
      <c r="AH109" s="966"/>
      <c r="AI109" s="978"/>
      <c r="AJ109" s="973"/>
      <c r="AK109" s="978"/>
      <c r="AL109" s="973"/>
      <c r="AM109" s="979"/>
      <c r="AN109" s="979"/>
      <c r="AO109" s="966"/>
      <c r="AP109" s="966"/>
      <c r="AQ109" s="980"/>
      <c r="AR109" s="980"/>
      <c r="AS109" s="980"/>
      <c r="AT109" s="966"/>
      <c r="AU109" s="966"/>
      <c r="AV109" s="978"/>
      <c r="AW109" s="973"/>
      <c r="AX109" s="978"/>
      <c r="AY109" s="973"/>
      <c r="AZ109" s="979"/>
      <c r="BA109" s="979"/>
      <c r="BB109" s="966"/>
      <c r="BC109" s="966"/>
      <c r="BD109" s="980"/>
      <c r="BE109" s="980"/>
      <c r="BF109" s="980"/>
      <c r="BG109" s="966"/>
      <c r="BH109" s="966"/>
      <c r="BI109" s="978"/>
      <c r="BJ109" s="973"/>
      <c r="BK109" s="978"/>
      <c r="BL109" s="973"/>
      <c r="BM109" s="979"/>
      <c r="BN109" s="979"/>
      <c r="BO109" s="966"/>
      <c r="BP109" s="966"/>
      <c r="BQ109" s="980"/>
      <c r="BR109" s="980"/>
      <c r="BS109" s="980"/>
      <c r="BT109" s="966"/>
      <c r="BU109" s="966"/>
      <c r="BV109" s="978"/>
      <c r="BW109" s="973"/>
      <c r="BX109" s="978"/>
      <c r="BY109" s="973"/>
      <c r="BZ109" s="979"/>
      <c r="CA109" s="979"/>
      <c r="CB109" s="966"/>
      <c r="CC109" s="966"/>
      <c r="CD109" s="980"/>
      <c r="CE109" s="980"/>
      <c r="CF109" s="980"/>
      <c r="CG109" s="966"/>
      <c r="CH109" s="966"/>
      <c r="CI109" s="978"/>
      <c r="CJ109" s="973"/>
      <c r="CK109" s="978"/>
      <c r="CL109" s="973"/>
      <c r="CM109" s="979"/>
      <c r="CN109" s="979"/>
      <c r="CO109" s="966"/>
      <c r="CP109" s="966"/>
      <c r="CQ109" s="980"/>
      <c r="CR109" s="980"/>
      <c r="CS109" s="980"/>
      <c r="CT109" s="966"/>
      <c r="CU109" s="966"/>
      <c r="CV109" s="978"/>
      <c r="CW109" s="973"/>
      <c r="CX109" s="978"/>
      <c r="CY109" s="973"/>
      <c r="CZ109" s="979"/>
      <c r="DA109" s="979"/>
      <c r="DB109" s="966"/>
      <c r="DC109" s="966"/>
      <c r="DD109" s="980"/>
      <c r="DE109" s="980"/>
      <c r="DF109" s="980"/>
      <c r="DG109" s="966"/>
      <c r="DH109" s="966"/>
      <c r="DI109" s="978"/>
      <c r="DJ109" s="973"/>
      <c r="DK109" s="978"/>
      <c r="DL109" s="973"/>
      <c r="DM109" s="979"/>
      <c r="DN109" s="979"/>
      <c r="DO109" s="966"/>
      <c r="DP109" s="966"/>
      <c r="DQ109" s="980"/>
      <c r="DR109" s="980"/>
      <c r="DS109" s="980"/>
      <c r="DT109" s="966"/>
      <c r="DU109" s="966"/>
      <c r="DV109" s="978"/>
      <c r="DW109" s="973"/>
      <c r="DX109" s="978"/>
      <c r="DY109" s="973"/>
      <c r="DZ109" s="979"/>
      <c r="EA109" s="979"/>
      <c r="EB109" s="966"/>
      <c r="EC109" s="966"/>
      <c r="ED109" s="980"/>
      <c r="EE109" s="980"/>
      <c r="EF109" s="980"/>
      <c r="EG109" s="966"/>
      <c r="EH109" s="966"/>
      <c r="EI109" s="978"/>
      <c r="EJ109" s="973"/>
      <c r="EK109" s="978"/>
      <c r="EL109" s="973"/>
      <c r="EM109" s="979"/>
      <c r="EN109" s="979"/>
      <c r="EO109" s="966"/>
      <c r="EP109" s="966"/>
      <c r="EQ109" s="980"/>
      <c r="ER109" s="980"/>
      <c r="ES109" s="980"/>
      <c r="ET109" s="966"/>
      <c r="EU109" s="966"/>
      <c r="EV109" s="978"/>
      <c r="EW109" s="973"/>
      <c r="EX109" s="978"/>
      <c r="EY109" s="973"/>
      <c r="EZ109" s="979"/>
      <c r="FA109" s="979"/>
      <c r="FB109" s="966"/>
      <c r="FC109" s="966"/>
      <c r="FD109" s="980"/>
      <c r="FE109" s="980"/>
      <c r="FF109" s="980"/>
      <c r="FG109" s="966"/>
      <c r="FH109" s="966"/>
      <c r="FI109" s="978"/>
      <c r="FJ109" s="973"/>
      <c r="FK109" s="978"/>
      <c r="FL109" s="973"/>
      <c r="FM109" s="979"/>
      <c r="FN109" s="979"/>
      <c r="FO109" s="966"/>
      <c r="FP109" s="966"/>
      <c r="FQ109" s="980"/>
      <c r="FR109" s="980"/>
      <c r="FS109" s="980"/>
      <c r="FT109" s="966"/>
      <c r="FU109" s="966"/>
      <c r="FV109" s="978"/>
      <c r="FW109" s="973"/>
      <c r="FX109" s="978"/>
      <c r="FY109" s="973"/>
      <c r="FZ109" s="979"/>
      <c r="GA109" s="979"/>
      <c r="GB109" s="966"/>
      <c r="GC109" s="966"/>
      <c r="GD109" s="980"/>
      <c r="GE109" s="980"/>
      <c r="GF109" s="980"/>
      <c r="GG109" s="966"/>
      <c r="GH109" s="966"/>
      <c r="GI109" s="978"/>
      <c r="GJ109" s="973"/>
      <c r="GK109" s="978"/>
      <c r="GL109" s="973"/>
      <c r="GM109" s="979"/>
      <c r="GN109" s="979"/>
      <c r="GO109" s="966"/>
      <c r="GP109" s="966"/>
      <c r="GQ109" s="980"/>
      <c r="GR109" s="980"/>
      <c r="GS109" s="980"/>
      <c r="GT109" s="966"/>
      <c r="GU109" s="966"/>
      <c r="GV109" s="978"/>
      <c r="GW109" s="973"/>
      <c r="GX109" s="978"/>
      <c r="GY109" s="973"/>
      <c r="GZ109" s="979"/>
      <c r="HA109" s="979"/>
      <c r="HB109" s="966"/>
      <c r="HC109" s="966"/>
      <c r="HD109" s="980"/>
      <c r="HE109" s="980"/>
      <c r="HF109" s="980"/>
      <c r="HG109" s="966"/>
      <c r="HH109" s="966"/>
      <c r="HI109" s="978"/>
      <c r="HJ109" s="973"/>
      <c r="HK109" s="978"/>
      <c r="HL109" s="973"/>
      <c r="HM109" s="979"/>
      <c r="HN109" s="979"/>
      <c r="HO109" s="966"/>
      <c r="HP109" s="966"/>
      <c r="HQ109" s="980"/>
      <c r="HR109" s="980"/>
      <c r="HS109" s="980"/>
      <c r="HT109" s="966"/>
      <c r="HU109" s="966"/>
      <c r="HV109" s="978"/>
      <c r="HW109" s="973"/>
      <c r="HX109" s="978"/>
      <c r="HY109" s="973"/>
      <c r="HZ109" s="979"/>
      <c r="IA109" s="979"/>
      <c r="IB109" s="966"/>
      <c r="IC109" s="966"/>
      <c r="ID109" s="980"/>
      <c r="IE109" s="980"/>
      <c r="IF109" s="980"/>
      <c r="IG109" s="966"/>
      <c r="IH109" s="966"/>
      <c r="II109" s="978"/>
      <c r="IJ109" s="973"/>
      <c r="IK109" s="978"/>
      <c r="IL109" s="973"/>
      <c r="IM109" s="979"/>
      <c r="IN109" s="979"/>
      <c r="IO109" s="966"/>
      <c r="IP109" s="966"/>
      <c r="IQ109" s="980"/>
      <c r="IR109" s="980"/>
      <c r="IS109" s="980"/>
      <c r="IT109" s="966"/>
      <c r="IU109" s="966"/>
      <c r="IV109" s="978"/>
      <c r="IW109" s="973"/>
      <c r="IX109" s="978"/>
      <c r="IY109" s="973"/>
      <c r="IZ109" s="979"/>
      <c r="JA109" s="979"/>
      <c r="JB109" s="966"/>
      <c r="JC109" s="966"/>
      <c r="JD109" s="980"/>
      <c r="JE109" s="980"/>
      <c r="JF109" s="980"/>
      <c r="JG109" s="966"/>
      <c r="JH109" s="966"/>
      <c r="JI109" s="978"/>
      <c r="JJ109" s="973"/>
      <c r="JK109" s="978"/>
      <c r="JL109" s="973"/>
      <c r="JM109" s="979"/>
      <c r="JN109" s="979"/>
      <c r="JO109" s="966"/>
      <c r="JP109" s="966"/>
      <c r="JQ109" s="980"/>
      <c r="JR109" s="980"/>
      <c r="JS109" s="980"/>
      <c r="JT109" s="966"/>
      <c r="JU109" s="966"/>
      <c r="JV109" s="978"/>
      <c r="JW109" s="973"/>
      <c r="JX109" s="978"/>
      <c r="JY109" s="973"/>
      <c r="JZ109" s="979"/>
      <c r="KA109" s="979"/>
      <c r="KB109" s="966"/>
      <c r="KC109" s="966"/>
      <c r="KD109" s="980"/>
      <c r="KE109" s="980"/>
      <c r="KF109" s="980"/>
      <c r="KG109" s="966"/>
      <c r="KH109" s="966"/>
      <c r="KI109" s="978"/>
      <c r="KJ109" s="973"/>
      <c r="KK109" s="978"/>
      <c r="KL109" s="973"/>
      <c r="KM109" s="979"/>
      <c r="KN109" s="979"/>
      <c r="KO109" s="966"/>
      <c r="KP109" s="966"/>
      <c r="KQ109" s="980"/>
      <c r="KR109" s="980"/>
      <c r="KS109" s="980"/>
      <c r="KT109" s="966"/>
      <c r="KU109" s="966"/>
      <c r="KV109" s="978"/>
      <c r="KW109" s="973"/>
      <c r="KX109" s="978"/>
      <c r="KY109" s="973"/>
      <c r="KZ109" s="979"/>
      <c r="LA109" s="979"/>
      <c r="LB109" s="966"/>
      <c r="LC109" s="966"/>
      <c r="LD109" s="980"/>
      <c r="LE109" s="980"/>
      <c r="LF109" s="980"/>
      <c r="LG109" s="966"/>
      <c r="LH109" s="966"/>
      <c r="LI109" s="978"/>
      <c r="LJ109" s="973"/>
      <c r="LK109" s="978"/>
      <c r="LL109" s="973"/>
      <c r="LM109" s="979"/>
      <c r="LN109" s="979"/>
      <c r="LO109" s="966"/>
      <c r="LP109" s="966"/>
      <c r="LQ109" s="980"/>
      <c r="LR109" s="980"/>
      <c r="LS109" s="980"/>
      <c r="LT109" s="966"/>
      <c r="LU109" s="966"/>
      <c r="LV109" s="978"/>
      <c r="LW109" s="973"/>
      <c r="LX109" s="978"/>
      <c r="LY109" s="973"/>
      <c r="LZ109" s="979"/>
      <c r="MA109" s="979"/>
      <c r="MB109" s="966"/>
      <c r="MC109" s="966"/>
      <c r="MD109" s="980"/>
      <c r="ME109" s="980"/>
      <c r="MF109" s="980"/>
      <c r="MG109" s="966"/>
    </row>
    <row r="110" spans="1:345" s="22" customFormat="1">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6"/>
      <c r="N110" s="992"/>
      <c r="O110" s="993"/>
      <c r="P110" s="993"/>
      <c r="Q110" s="994">
        <f t="shared" si="58"/>
        <v>0</v>
      </c>
      <c r="R110" s="994">
        <f t="shared" si="59"/>
        <v>0</v>
      </c>
      <c r="S110" s="994"/>
      <c r="T110" s="991" t="str">
        <f t="shared" si="60"/>
        <v/>
      </c>
      <c r="U110" s="966"/>
      <c r="V110" s="978"/>
      <c r="W110" s="973"/>
      <c r="X110" s="978"/>
      <c r="Y110" s="973"/>
      <c r="Z110" s="979"/>
      <c r="AA110" s="979"/>
      <c r="AB110" s="966"/>
      <c r="AC110" s="966"/>
      <c r="AD110" s="980"/>
      <c r="AE110" s="980"/>
      <c r="AF110" s="980"/>
      <c r="AG110" s="966"/>
      <c r="AH110" s="966"/>
      <c r="AI110" s="978"/>
      <c r="AJ110" s="973"/>
      <c r="AK110" s="978"/>
      <c r="AL110" s="973"/>
      <c r="AM110" s="979"/>
      <c r="AN110" s="979"/>
      <c r="AO110" s="966"/>
      <c r="AP110" s="966"/>
      <c r="AQ110" s="980"/>
      <c r="AR110" s="980"/>
      <c r="AS110" s="980"/>
      <c r="AT110" s="966"/>
      <c r="AU110" s="966"/>
      <c r="AV110" s="978"/>
      <c r="AW110" s="973"/>
      <c r="AX110" s="978"/>
      <c r="AY110" s="973"/>
      <c r="AZ110" s="979"/>
      <c r="BA110" s="979"/>
      <c r="BB110" s="966"/>
      <c r="BC110" s="966"/>
      <c r="BD110" s="980"/>
      <c r="BE110" s="980"/>
      <c r="BF110" s="980"/>
      <c r="BG110" s="966"/>
      <c r="BH110" s="966"/>
      <c r="BI110" s="978"/>
      <c r="BJ110" s="973"/>
      <c r="BK110" s="978"/>
      <c r="BL110" s="973"/>
      <c r="BM110" s="979"/>
      <c r="BN110" s="979"/>
      <c r="BO110" s="966"/>
      <c r="BP110" s="966"/>
      <c r="BQ110" s="980"/>
      <c r="BR110" s="980"/>
      <c r="BS110" s="980"/>
      <c r="BT110" s="966"/>
      <c r="BU110" s="966"/>
      <c r="BV110" s="978"/>
      <c r="BW110" s="973"/>
      <c r="BX110" s="978"/>
      <c r="BY110" s="973"/>
      <c r="BZ110" s="979"/>
      <c r="CA110" s="979"/>
      <c r="CB110" s="966"/>
      <c r="CC110" s="966"/>
      <c r="CD110" s="980"/>
      <c r="CE110" s="980"/>
      <c r="CF110" s="980"/>
      <c r="CG110" s="966"/>
      <c r="CH110" s="966"/>
      <c r="CI110" s="978"/>
      <c r="CJ110" s="973"/>
      <c r="CK110" s="978"/>
      <c r="CL110" s="973"/>
      <c r="CM110" s="979"/>
      <c r="CN110" s="979"/>
      <c r="CO110" s="966"/>
      <c r="CP110" s="966"/>
      <c r="CQ110" s="980"/>
      <c r="CR110" s="980"/>
      <c r="CS110" s="980"/>
      <c r="CT110" s="966"/>
      <c r="CU110" s="966"/>
      <c r="CV110" s="978"/>
      <c r="CW110" s="973"/>
      <c r="CX110" s="978"/>
      <c r="CY110" s="973"/>
      <c r="CZ110" s="979"/>
      <c r="DA110" s="979"/>
      <c r="DB110" s="966"/>
      <c r="DC110" s="966"/>
      <c r="DD110" s="980"/>
      <c r="DE110" s="980"/>
      <c r="DF110" s="980"/>
      <c r="DG110" s="966"/>
      <c r="DH110" s="966"/>
      <c r="DI110" s="978"/>
      <c r="DJ110" s="973"/>
      <c r="DK110" s="978"/>
      <c r="DL110" s="973"/>
      <c r="DM110" s="979"/>
      <c r="DN110" s="979"/>
      <c r="DO110" s="966"/>
      <c r="DP110" s="966"/>
      <c r="DQ110" s="980"/>
      <c r="DR110" s="980"/>
      <c r="DS110" s="980"/>
      <c r="DT110" s="966"/>
      <c r="DU110" s="966"/>
      <c r="DV110" s="978"/>
      <c r="DW110" s="973"/>
      <c r="DX110" s="978"/>
      <c r="DY110" s="973"/>
      <c r="DZ110" s="979"/>
      <c r="EA110" s="979"/>
      <c r="EB110" s="966"/>
      <c r="EC110" s="966"/>
      <c r="ED110" s="980"/>
      <c r="EE110" s="980"/>
      <c r="EF110" s="980"/>
      <c r="EG110" s="966"/>
      <c r="EH110" s="966"/>
      <c r="EI110" s="978"/>
      <c r="EJ110" s="973"/>
      <c r="EK110" s="978"/>
      <c r="EL110" s="973"/>
      <c r="EM110" s="979"/>
      <c r="EN110" s="979"/>
      <c r="EO110" s="966"/>
      <c r="EP110" s="966"/>
      <c r="EQ110" s="980"/>
      <c r="ER110" s="980"/>
      <c r="ES110" s="980"/>
      <c r="ET110" s="966"/>
      <c r="EU110" s="966"/>
      <c r="EV110" s="978"/>
      <c r="EW110" s="973"/>
      <c r="EX110" s="978"/>
      <c r="EY110" s="973"/>
      <c r="EZ110" s="979"/>
      <c r="FA110" s="979"/>
      <c r="FB110" s="966"/>
      <c r="FC110" s="966"/>
      <c r="FD110" s="980"/>
      <c r="FE110" s="980"/>
      <c r="FF110" s="980"/>
      <c r="FG110" s="966"/>
      <c r="FH110" s="966"/>
      <c r="FI110" s="978"/>
      <c r="FJ110" s="973"/>
      <c r="FK110" s="978"/>
      <c r="FL110" s="973"/>
      <c r="FM110" s="979"/>
      <c r="FN110" s="979"/>
      <c r="FO110" s="966"/>
      <c r="FP110" s="966"/>
      <c r="FQ110" s="980"/>
      <c r="FR110" s="980"/>
      <c r="FS110" s="980"/>
      <c r="FT110" s="966"/>
      <c r="FU110" s="966"/>
      <c r="FV110" s="978"/>
      <c r="FW110" s="973"/>
      <c r="FX110" s="978"/>
      <c r="FY110" s="973"/>
      <c r="FZ110" s="979"/>
      <c r="GA110" s="979"/>
      <c r="GB110" s="966"/>
      <c r="GC110" s="966"/>
      <c r="GD110" s="980"/>
      <c r="GE110" s="980"/>
      <c r="GF110" s="980"/>
      <c r="GG110" s="966"/>
      <c r="GH110" s="966"/>
      <c r="GI110" s="978"/>
      <c r="GJ110" s="973"/>
      <c r="GK110" s="978"/>
      <c r="GL110" s="973"/>
      <c r="GM110" s="979"/>
      <c r="GN110" s="979"/>
      <c r="GO110" s="966"/>
      <c r="GP110" s="966"/>
      <c r="GQ110" s="980"/>
      <c r="GR110" s="980"/>
      <c r="GS110" s="980"/>
      <c r="GT110" s="966"/>
      <c r="GU110" s="966"/>
      <c r="GV110" s="978"/>
      <c r="GW110" s="973"/>
      <c r="GX110" s="978"/>
      <c r="GY110" s="973"/>
      <c r="GZ110" s="979"/>
      <c r="HA110" s="979"/>
      <c r="HB110" s="966"/>
      <c r="HC110" s="966"/>
      <c r="HD110" s="980"/>
      <c r="HE110" s="980"/>
      <c r="HF110" s="980"/>
      <c r="HG110" s="966"/>
      <c r="HH110" s="966"/>
      <c r="HI110" s="978"/>
      <c r="HJ110" s="973"/>
      <c r="HK110" s="978"/>
      <c r="HL110" s="973"/>
      <c r="HM110" s="979"/>
      <c r="HN110" s="979"/>
      <c r="HO110" s="966"/>
      <c r="HP110" s="966"/>
      <c r="HQ110" s="980"/>
      <c r="HR110" s="980"/>
      <c r="HS110" s="980"/>
      <c r="HT110" s="966"/>
      <c r="HU110" s="966"/>
      <c r="HV110" s="978"/>
      <c r="HW110" s="973"/>
      <c r="HX110" s="978"/>
      <c r="HY110" s="973"/>
      <c r="HZ110" s="979"/>
      <c r="IA110" s="979"/>
      <c r="IB110" s="966"/>
      <c r="IC110" s="966"/>
      <c r="ID110" s="980"/>
      <c r="IE110" s="980"/>
      <c r="IF110" s="980"/>
      <c r="IG110" s="966"/>
      <c r="IH110" s="966"/>
      <c r="II110" s="978"/>
      <c r="IJ110" s="973"/>
      <c r="IK110" s="978"/>
      <c r="IL110" s="973"/>
      <c r="IM110" s="979"/>
      <c r="IN110" s="979"/>
      <c r="IO110" s="966"/>
      <c r="IP110" s="966"/>
      <c r="IQ110" s="980"/>
      <c r="IR110" s="980"/>
      <c r="IS110" s="980"/>
      <c r="IT110" s="966"/>
      <c r="IU110" s="966"/>
      <c r="IV110" s="978"/>
      <c r="IW110" s="973"/>
      <c r="IX110" s="978"/>
      <c r="IY110" s="973"/>
      <c r="IZ110" s="979"/>
      <c r="JA110" s="979"/>
      <c r="JB110" s="966"/>
      <c r="JC110" s="966"/>
      <c r="JD110" s="980"/>
      <c r="JE110" s="980"/>
      <c r="JF110" s="980"/>
      <c r="JG110" s="966"/>
      <c r="JH110" s="966"/>
      <c r="JI110" s="978"/>
      <c r="JJ110" s="973"/>
      <c r="JK110" s="978"/>
      <c r="JL110" s="973"/>
      <c r="JM110" s="979"/>
      <c r="JN110" s="979"/>
      <c r="JO110" s="966"/>
      <c r="JP110" s="966"/>
      <c r="JQ110" s="980"/>
      <c r="JR110" s="980"/>
      <c r="JS110" s="980"/>
      <c r="JT110" s="966"/>
      <c r="JU110" s="966"/>
      <c r="JV110" s="978"/>
      <c r="JW110" s="973"/>
      <c r="JX110" s="978"/>
      <c r="JY110" s="973"/>
      <c r="JZ110" s="979"/>
      <c r="KA110" s="979"/>
      <c r="KB110" s="966"/>
      <c r="KC110" s="966"/>
      <c r="KD110" s="980"/>
      <c r="KE110" s="980"/>
      <c r="KF110" s="980"/>
      <c r="KG110" s="966"/>
      <c r="KH110" s="966"/>
      <c r="KI110" s="978"/>
      <c r="KJ110" s="973"/>
      <c r="KK110" s="978"/>
      <c r="KL110" s="973"/>
      <c r="KM110" s="979"/>
      <c r="KN110" s="979"/>
      <c r="KO110" s="966"/>
      <c r="KP110" s="966"/>
      <c r="KQ110" s="980"/>
      <c r="KR110" s="980"/>
      <c r="KS110" s="980"/>
      <c r="KT110" s="966"/>
      <c r="KU110" s="966"/>
      <c r="KV110" s="978"/>
      <c r="KW110" s="973"/>
      <c r="KX110" s="978"/>
      <c r="KY110" s="973"/>
      <c r="KZ110" s="979"/>
      <c r="LA110" s="979"/>
      <c r="LB110" s="966"/>
      <c r="LC110" s="966"/>
      <c r="LD110" s="980"/>
      <c r="LE110" s="980"/>
      <c r="LF110" s="980"/>
      <c r="LG110" s="966"/>
      <c r="LH110" s="966"/>
      <c r="LI110" s="978"/>
      <c r="LJ110" s="973"/>
      <c r="LK110" s="978"/>
      <c r="LL110" s="973"/>
      <c r="LM110" s="979"/>
      <c r="LN110" s="979"/>
      <c r="LO110" s="966"/>
      <c r="LP110" s="966"/>
      <c r="LQ110" s="980"/>
      <c r="LR110" s="980"/>
      <c r="LS110" s="980"/>
      <c r="LT110" s="966"/>
      <c r="LU110" s="966"/>
      <c r="LV110" s="978"/>
      <c r="LW110" s="973"/>
      <c r="LX110" s="978"/>
      <c r="LY110" s="973"/>
      <c r="LZ110" s="979"/>
      <c r="MA110" s="979"/>
      <c r="MB110" s="966"/>
      <c r="MC110" s="966"/>
      <c r="MD110" s="980"/>
      <c r="ME110" s="980"/>
      <c r="MF110" s="980"/>
      <c r="MG110" s="966"/>
    </row>
    <row r="111" spans="1:345" s="22" customFormat="1">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6"/>
      <c r="N111" s="992"/>
      <c r="O111" s="993"/>
      <c r="P111" s="993"/>
      <c r="Q111" s="994">
        <f t="shared" si="58"/>
        <v>0</v>
      </c>
      <c r="R111" s="994">
        <f t="shared" si="59"/>
        <v>0</v>
      </c>
      <c r="S111" s="994"/>
      <c r="T111" s="991" t="str">
        <f t="shared" si="60"/>
        <v/>
      </c>
      <c r="U111" s="966"/>
      <c r="V111" s="978"/>
      <c r="W111" s="973"/>
      <c r="X111" s="978"/>
      <c r="Y111" s="973"/>
      <c r="Z111" s="979"/>
      <c r="AA111" s="979"/>
      <c r="AB111" s="966"/>
      <c r="AC111" s="966"/>
      <c r="AD111" s="980"/>
      <c r="AE111" s="980"/>
      <c r="AF111" s="980"/>
      <c r="AG111" s="966"/>
      <c r="AH111" s="966"/>
      <c r="AI111" s="978"/>
      <c r="AJ111" s="973"/>
      <c r="AK111" s="978"/>
      <c r="AL111" s="973"/>
      <c r="AM111" s="979"/>
      <c r="AN111" s="979"/>
      <c r="AO111" s="966"/>
      <c r="AP111" s="966"/>
      <c r="AQ111" s="980"/>
      <c r="AR111" s="980"/>
      <c r="AS111" s="980"/>
      <c r="AT111" s="966"/>
      <c r="AU111" s="966"/>
      <c r="AV111" s="978"/>
      <c r="AW111" s="973"/>
      <c r="AX111" s="978"/>
      <c r="AY111" s="973"/>
      <c r="AZ111" s="979"/>
      <c r="BA111" s="979"/>
      <c r="BB111" s="966"/>
      <c r="BC111" s="966"/>
      <c r="BD111" s="980"/>
      <c r="BE111" s="980"/>
      <c r="BF111" s="980"/>
      <c r="BG111" s="966"/>
      <c r="BH111" s="966"/>
      <c r="BI111" s="978"/>
      <c r="BJ111" s="973"/>
      <c r="BK111" s="978"/>
      <c r="BL111" s="973"/>
      <c r="BM111" s="979"/>
      <c r="BN111" s="979"/>
      <c r="BO111" s="966"/>
      <c r="BP111" s="966"/>
      <c r="BQ111" s="980"/>
      <c r="BR111" s="980"/>
      <c r="BS111" s="980"/>
      <c r="BT111" s="966"/>
      <c r="BU111" s="966"/>
      <c r="BV111" s="978"/>
      <c r="BW111" s="973"/>
      <c r="BX111" s="978"/>
      <c r="BY111" s="973"/>
      <c r="BZ111" s="979"/>
      <c r="CA111" s="979"/>
      <c r="CB111" s="966"/>
      <c r="CC111" s="966"/>
      <c r="CD111" s="980"/>
      <c r="CE111" s="980"/>
      <c r="CF111" s="980"/>
      <c r="CG111" s="966"/>
      <c r="CH111" s="966"/>
      <c r="CI111" s="978"/>
      <c r="CJ111" s="973"/>
      <c r="CK111" s="978"/>
      <c r="CL111" s="973"/>
      <c r="CM111" s="979"/>
      <c r="CN111" s="979"/>
      <c r="CO111" s="966"/>
      <c r="CP111" s="966"/>
      <c r="CQ111" s="980"/>
      <c r="CR111" s="980"/>
      <c r="CS111" s="980"/>
      <c r="CT111" s="966"/>
      <c r="CU111" s="966"/>
      <c r="CV111" s="978"/>
      <c r="CW111" s="973"/>
      <c r="CX111" s="978"/>
      <c r="CY111" s="973"/>
      <c r="CZ111" s="979"/>
      <c r="DA111" s="979"/>
      <c r="DB111" s="966"/>
      <c r="DC111" s="966"/>
      <c r="DD111" s="980"/>
      <c r="DE111" s="980"/>
      <c r="DF111" s="980"/>
      <c r="DG111" s="966"/>
      <c r="DH111" s="966"/>
      <c r="DI111" s="978"/>
      <c r="DJ111" s="973"/>
      <c r="DK111" s="978"/>
      <c r="DL111" s="973"/>
      <c r="DM111" s="979"/>
      <c r="DN111" s="979"/>
      <c r="DO111" s="966"/>
      <c r="DP111" s="966"/>
      <c r="DQ111" s="980"/>
      <c r="DR111" s="980"/>
      <c r="DS111" s="980"/>
      <c r="DT111" s="966"/>
      <c r="DU111" s="966"/>
      <c r="DV111" s="978"/>
      <c r="DW111" s="973"/>
      <c r="DX111" s="978"/>
      <c r="DY111" s="973"/>
      <c r="DZ111" s="979"/>
      <c r="EA111" s="979"/>
      <c r="EB111" s="966"/>
      <c r="EC111" s="966"/>
      <c r="ED111" s="980"/>
      <c r="EE111" s="980"/>
      <c r="EF111" s="980"/>
      <c r="EG111" s="966"/>
      <c r="EH111" s="966"/>
      <c r="EI111" s="978"/>
      <c r="EJ111" s="973"/>
      <c r="EK111" s="978"/>
      <c r="EL111" s="973"/>
      <c r="EM111" s="979"/>
      <c r="EN111" s="979"/>
      <c r="EO111" s="966"/>
      <c r="EP111" s="966"/>
      <c r="EQ111" s="980"/>
      <c r="ER111" s="980"/>
      <c r="ES111" s="980"/>
      <c r="ET111" s="966"/>
      <c r="EU111" s="966"/>
      <c r="EV111" s="978"/>
      <c r="EW111" s="973"/>
      <c r="EX111" s="978"/>
      <c r="EY111" s="973"/>
      <c r="EZ111" s="979"/>
      <c r="FA111" s="979"/>
      <c r="FB111" s="966"/>
      <c r="FC111" s="966"/>
      <c r="FD111" s="980"/>
      <c r="FE111" s="980"/>
      <c r="FF111" s="980"/>
      <c r="FG111" s="966"/>
      <c r="FH111" s="966"/>
      <c r="FI111" s="978"/>
      <c r="FJ111" s="973"/>
      <c r="FK111" s="978"/>
      <c r="FL111" s="973"/>
      <c r="FM111" s="979"/>
      <c r="FN111" s="979"/>
      <c r="FO111" s="966"/>
      <c r="FP111" s="966"/>
      <c r="FQ111" s="980"/>
      <c r="FR111" s="980"/>
      <c r="FS111" s="980"/>
      <c r="FT111" s="966"/>
      <c r="FU111" s="966"/>
      <c r="FV111" s="978"/>
      <c r="FW111" s="973"/>
      <c r="FX111" s="978"/>
      <c r="FY111" s="973"/>
      <c r="FZ111" s="979"/>
      <c r="GA111" s="979"/>
      <c r="GB111" s="966"/>
      <c r="GC111" s="966"/>
      <c r="GD111" s="980"/>
      <c r="GE111" s="980"/>
      <c r="GF111" s="980"/>
      <c r="GG111" s="966"/>
      <c r="GH111" s="966"/>
      <c r="GI111" s="978"/>
      <c r="GJ111" s="973"/>
      <c r="GK111" s="978"/>
      <c r="GL111" s="973"/>
      <c r="GM111" s="979"/>
      <c r="GN111" s="979"/>
      <c r="GO111" s="966"/>
      <c r="GP111" s="966"/>
      <c r="GQ111" s="980"/>
      <c r="GR111" s="980"/>
      <c r="GS111" s="980"/>
      <c r="GT111" s="966"/>
      <c r="GU111" s="966"/>
      <c r="GV111" s="978"/>
      <c r="GW111" s="973"/>
      <c r="GX111" s="978"/>
      <c r="GY111" s="973"/>
      <c r="GZ111" s="979"/>
      <c r="HA111" s="979"/>
      <c r="HB111" s="966"/>
      <c r="HC111" s="966"/>
      <c r="HD111" s="980"/>
      <c r="HE111" s="980"/>
      <c r="HF111" s="980"/>
      <c r="HG111" s="966"/>
      <c r="HH111" s="966"/>
      <c r="HI111" s="978"/>
      <c r="HJ111" s="973"/>
      <c r="HK111" s="978"/>
      <c r="HL111" s="973"/>
      <c r="HM111" s="979"/>
      <c r="HN111" s="979"/>
      <c r="HO111" s="966"/>
      <c r="HP111" s="966"/>
      <c r="HQ111" s="980"/>
      <c r="HR111" s="980"/>
      <c r="HS111" s="980"/>
      <c r="HT111" s="966"/>
      <c r="HU111" s="966"/>
      <c r="HV111" s="978"/>
      <c r="HW111" s="973"/>
      <c r="HX111" s="978"/>
      <c r="HY111" s="973"/>
      <c r="HZ111" s="979"/>
      <c r="IA111" s="979"/>
      <c r="IB111" s="966"/>
      <c r="IC111" s="966"/>
      <c r="ID111" s="980"/>
      <c r="IE111" s="980"/>
      <c r="IF111" s="980"/>
      <c r="IG111" s="966"/>
      <c r="IH111" s="966"/>
      <c r="II111" s="978"/>
      <c r="IJ111" s="973"/>
      <c r="IK111" s="978"/>
      <c r="IL111" s="973"/>
      <c r="IM111" s="979"/>
      <c r="IN111" s="979"/>
      <c r="IO111" s="966"/>
      <c r="IP111" s="966"/>
      <c r="IQ111" s="980"/>
      <c r="IR111" s="980"/>
      <c r="IS111" s="980"/>
      <c r="IT111" s="966"/>
      <c r="IU111" s="966"/>
      <c r="IV111" s="978"/>
      <c r="IW111" s="973"/>
      <c r="IX111" s="978"/>
      <c r="IY111" s="973"/>
      <c r="IZ111" s="979"/>
      <c r="JA111" s="979"/>
      <c r="JB111" s="966"/>
      <c r="JC111" s="966"/>
      <c r="JD111" s="980"/>
      <c r="JE111" s="980"/>
      <c r="JF111" s="980"/>
      <c r="JG111" s="966"/>
      <c r="JH111" s="966"/>
      <c r="JI111" s="978"/>
      <c r="JJ111" s="973"/>
      <c r="JK111" s="978"/>
      <c r="JL111" s="973"/>
      <c r="JM111" s="979"/>
      <c r="JN111" s="979"/>
      <c r="JO111" s="966"/>
      <c r="JP111" s="966"/>
      <c r="JQ111" s="980"/>
      <c r="JR111" s="980"/>
      <c r="JS111" s="980"/>
      <c r="JT111" s="966"/>
      <c r="JU111" s="966"/>
      <c r="JV111" s="978"/>
      <c r="JW111" s="973"/>
      <c r="JX111" s="978"/>
      <c r="JY111" s="973"/>
      <c r="JZ111" s="979"/>
      <c r="KA111" s="979"/>
      <c r="KB111" s="966"/>
      <c r="KC111" s="966"/>
      <c r="KD111" s="980"/>
      <c r="KE111" s="980"/>
      <c r="KF111" s="980"/>
      <c r="KG111" s="966"/>
      <c r="KH111" s="966"/>
      <c r="KI111" s="978"/>
      <c r="KJ111" s="973"/>
      <c r="KK111" s="978"/>
      <c r="KL111" s="973"/>
      <c r="KM111" s="979"/>
      <c r="KN111" s="979"/>
      <c r="KO111" s="966"/>
      <c r="KP111" s="966"/>
      <c r="KQ111" s="980"/>
      <c r="KR111" s="980"/>
      <c r="KS111" s="980"/>
      <c r="KT111" s="966"/>
      <c r="KU111" s="966"/>
      <c r="KV111" s="978"/>
      <c r="KW111" s="973"/>
      <c r="KX111" s="978"/>
      <c r="KY111" s="973"/>
      <c r="KZ111" s="979"/>
      <c r="LA111" s="979"/>
      <c r="LB111" s="966"/>
      <c r="LC111" s="966"/>
      <c r="LD111" s="980"/>
      <c r="LE111" s="980"/>
      <c r="LF111" s="980"/>
      <c r="LG111" s="966"/>
      <c r="LH111" s="966"/>
      <c r="LI111" s="978"/>
      <c r="LJ111" s="973"/>
      <c r="LK111" s="978"/>
      <c r="LL111" s="973"/>
      <c r="LM111" s="979"/>
      <c r="LN111" s="979"/>
      <c r="LO111" s="966"/>
      <c r="LP111" s="966"/>
      <c r="LQ111" s="980"/>
      <c r="LR111" s="980"/>
      <c r="LS111" s="980"/>
      <c r="LT111" s="966"/>
      <c r="LU111" s="966"/>
      <c r="LV111" s="978"/>
      <c r="LW111" s="973"/>
      <c r="LX111" s="978"/>
      <c r="LY111" s="973"/>
      <c r="LZ111" s="979"/>
      <c r="MA111" s="979"/>
      <c r="MB111" s="966"/>
      <c r="MC111" s="966"/>
      <c r="MD111" s="980"/>
      <c r="ME111" s="980"/>
      <c r="MF111" s="980"/>
      <c r="MG111" s="966"/>
    </row>
    <row r="112" spans="1:345" s="22" customFormat="1">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6"/>
      <c r="N112" s="992"/>
      <c r="O112" s="993"/>
      <c r="P112" s="993"/>
      <c r="Q112" s="994">
        <f t="shared" si="58"/>
        <v>0</v>
      </c>
      <c r="R112" s="994">
        <f t="shared" si="59"/>
        <v>0</v>
      </c>
      <c r="S112" s="994"/>
      <c r="T112" s="991" t="str">
        <f t="shared" si="60"/>
        <v/>
      </c>
      <c r="U112" s="966"/>
      <c r="V112" s="978"/>
      <c r="W112" s="973"/>
      <c r="X112" s="978"/>
      <c r="Y112" s="973"/>
      <c r="Z112" s="979"/>
      <c r="AA112" s="979"/>
      <c r="AB112" s="966"/>
      <c r="AC112" s="966"/>
      <c r="AD112" s="980"/>
      <c r="AE112" s="980"/>
      <c r="AF112" s="980"/>
      <c r="AG112" s="966"/>
      <c r="AH112" s="966"/>
      <c r="AI112" s="978"/>
      <c r="AJ112" s="973"/>
      <c r="AK112" s="978"/>
      <c r="AL112" s="973"/>
      <c r="AM112" s="979"/>
      <c r="AN112" s="979"/>
      <c r="AO112" s="966"/>
      <c r="AP112" s="966"/>
      <c r="AQ112" s="980"/>
      <c r="AR112" s="980"/>
      <c r="AS112" s="980"/>
      <c r="AT112" s="966"/>
      <c r="AU112" s="966"/>
      <c r="AV112" s="978"/>
      <c r="AW112" s="973"/>
      <c r="AX112" s="978"/>
      <c r="AY112" s="973"/>
      <c r="AZ112" s="979"/>
      <c r="BA112" s="979"/>
      <c r="BB112" s="966"/>
      <c r="BC112" s="966"/>
      <c r="BD112" s="980"/>
      <c r="BE112" s="980"/>
      <c r="BF112" s="980"/>
      <c r="BG112" s="966"/>
      <c r="BH112" s="966"/>
      <c r="BI112" s="978"/>
      <c r="BJ112" s="973"/>
      <c r="BK112" s="978"/>
      <c r="BL112" s="973"/>
      <c r="BM112" s="979"/>
      <c r="BN112" s="979"/>
      <c r="BO112" s="966"/>
      <c r="BP112" s="966"/>
      <c r="BQ112" s="980"/>
      <c r="BR112" s="980"/>
      <c r="BS112" s="980"/>
      <c r="BT112" s="966"/>
      <c r="BU112" s="966"/>
      <c r="BV112" s="978"/>
      <c r="BW112" s="973"/>
      <c r="BX112" s="978"/>
      <c r="BY112" s="973"/>
      <c r="BZ112" s="979"/>
      <c r="CA112" s="979"/>
      <c r="CB112" s="966"/>
      <c r="CC112" s="966"/>
      <c r="CD112" s="980"/>
      <c r="CE112" s="980"/>
      <c r="CF112" s="980"/>
      <c r="CG112" s="966"/>
      <c r="CH112" s="966"/>
      <c r="CI112" s="978"/>
      <c r="CJ112" s="973"/>
      <c r="CK112" s="978"/>
      <c r="CL112" s="973"/>
      <c r="CM112" s="979"/>
      <c r="CN112" s="979"/>
      <c r="CO112" s="966"/>
      <c r="CP112" s="966"/>
      <c r="CQ112" s="980"/>
      <c r="CR112" s="980"/>
      <c r="CS112" s="980"/>
      <c r="CT112" s="966"/>
      <c r="CU112" s="966"/>
      <c r="CV112" s="978"/>
      <c r="CW112" s="973"/>
      <c r="CX112" s="978"/>
      <c r="CY112" s="973"/>
      <c r="CZ112" s="979"/>
      <c r="DA112" s="979"/>
      <c r="DB112" s="966"/>
      <c r="DC112" s="966"/>
      <c r="DD112" s="980"/>
      <c r="DE112" s="980"/>
      <c r="DF112" s="980"/>
      <c r="DG112" s="966"/>
      <c r="DH112" s="966"/>
      <c r="DI112" s="978"/>
      <c r="DJ112" s="973"/>
      <c r="DK112" s="978"/>
      <c r="DL112" s="973"/>
      <c r="DM112" s="979"/>
      <c r="DN112" s="979"/>
      <c r="DO112" s="966"/>
      <c r="DP112" s="966"/>
      <c r="DQ112" s="980"/>
      <c r="DR112" s="980"/>
      <c r="DS112" s="980"/>
      <c r="DT112" s="966"/>
      <c r="DU112" s="966"/>
      <c r="DV112" s="978"/>
      <c r="DW112" s="973"/>
      <c r="DX112" s="978"/>
      <c r="DY112" s="973"/>
      <c r="DZ112" s="979"/>
      <c r="EA112" s="979"/>
      <c r="EB112" s="966"/>
      <c r="EC112" s="966"/>
      <c r="ED112" s="980"/>
      <c r="EE112" s="980"/>
      <c r="EF112" s="980"/>
      <c r="EG112" s="966"/>
      <c r="EH112" s="966"/>
      <c r="EI112" s="978"/>
      <c r="EJ112" s="973"/>
      <c r="EK112" s="978"/>
      <c r="EL112" s="973"/>
      <c r="EM112" s="979"/>
      <c r="EN112" s="979"/>
      <c r="EO112" s="966"/>
      <c r="EP112" s="966"/>
      <c r="EQ112" s="980"/>
      <c r="ER112" s="980"/>
      <c r="ES112" s="980"/>
      <c r="ET112" s="966"/>
      <c r="EU112" s="966"/>
      <c r="EV112" s="978"/>
      <c r="EW112" s="973"/>
      <c r="EX112" s="978"/>
      <c r="EY112" s="973"/>
      <c r="EZ112" s="979"/>
      <c r="FA112" s="979"/>
      <c r="FB112" s="966"/>
      <c r="FC112" s="966"/>
      <c r="FD112" s="980"/>
      <c r="FE112" s="980"/>
      <c r="FF112" s="980"/>
      <c r="FG112" s="966"/>
      <c r="FH112" s="966"/>
      <c r="FI112" s="978"/>
      <c r="FJ112" s="973"/>
      <c r="FK112" s="978"/>
      <c r="FL112" s="973"/>
      <c r="FM112" s="979"/>
      <c r="FN112" s="979"/>
      <c r="FO112" s="966"/>
      <c r="FP112" s="966"/>
      <c r="FQ112" s="980"/>
      <c r="FR112" s="980"/>
      <c r="FS112" s="980"/>
      <c r="FT112" s="966"/>
      <c r="FU112" s="966"/>
      <c r="FV112" s="978"/>
      <c r="FW112" s="973"/>
      <c r="FX112" s="978"/>
      <c r="FY112" s="973"/>
      <c r="FZ112" s="979"/>
      <c r="GA112" s="979"/>
      <c r="GB112" s="966"/>
      <c r="GC112" s="966"/>
      <c r="GD112" s="980"/>
      <c r="GE112" s="980"/>
      <c r="GF112" s="980"/>
      <c r="GG112" s="966"/>
      <c r="GH112" s="966"/>
      <c r="GI112" s="978"/>
      <c r="GJ112" s="973"/>
      <c r="GK112" s="978"/>
      <c r="GL112" s="973"/>
      <c r="GM112" s="979"/>
      <c r="GN112" s="979"/>
      <c r="GO112" s="966"/>
      <c r="GP112" s="966"/>
      <c r="GQ112" s="980"/>
      <c r="GR112" s="980"/>
      <c r="GS112" s="980"/>
      <c r="GT112" s="966"/>
      <c r="GU112" s="966"/>
      <c r="GV112" s="978"/>
      <c r="GW112" s="973"/>
      <c r="GX112" s="978"/>
      <c r="GY112" s="973"/>
      <c r="GZ112" s="979"/>
      <c r="HA112" s="979"/>
      <c r="HB112" s="966"/>
      <c r="HC112" s="966"/>
      <c r="HD112" s="980"/>
      <c r="HE112" s="980"/>
      <c r="HF112" s="980"/>
      <c r="HG112" s="966"/>
      <c r="HH112" s="966"/>
      <c r="HI112" s="978"/>
      <c r="HJ112" s="973"/>
      <c r="HK112" s="978"/>
      <c r="HL112" s="973"/>
      <c r="HM112" s="979"/>
      <c r="HN112" s="979"/>
      <c r="HO112" s="966"/>
      <c r="HP112" s="966"/>
      <c r="HQ112" s="980"/>
      <c r="HR112" s="980"/>
      <c r="HS112" s="980"/>
      <c r="HT112" s="966"/>
      <c r="HU112" s="966"/>
      <c r="HV112" s="978"/>
      <c r="HW112" s="973"/>
      <c r="HX112" s="978"/>
      <c r="HY112" s="973"/>
      <c r="HZ112" s="979"/>
      <c r="IA112" s="979"/>
      <c r="IB112" s="966"/>
      <c r="IC112" s="966"/>
      <c r="ID112" s="980"/>
      <c r="IE112" s="980"/>
      <c r="IF112" s="980"/>
      <c r="IG112" s="966"/>
      <c r="IH112" s="966"/>
      <c r="II112" s="978"/>
      <c r="IJ112" s="973"/>
      <c r="IK112" s="978"/>
      <c r="IL112" s="973"/>
      <c r="IM112" s="979"/>
      <c r="IN112" s="979"/>
      <c r="IO112" s="966"/>
      <c r="IP112" s="966"/>
      <c r="IQ112" s="980"/>
      <c r="IR112" s="980"/>
      <c r="IS112" s="980"/>
      <c r="IT112" s="966"/>
      <c r="IU112" s="966"/>
      <c r="IV112" s="978"/>
      <c r="IW112" s="973"/>
      <c r="IX112" s="978"/>
      <c r="IY112" s="973"/>
      <c r="IZ112" s="979"/>
      <c r="JA112" s="979"/>
      <c r="JB112" s="966"/>
      <c r="JC112" s="966"/>
      <c r="JD112" s="980"/>
      <c r="JE112" s="980"/>
      <c r="JF112" s="980"/>
      <c r="JG112" s="966"/>
      <c r="JH112" s="966"/>
      <c r="JI112" s="978"/>
      <c r="JJ112" s="973"/>
      <c r="JK112" s="978"/>
      <c r="JL112" s="973"/>
      <c r="JM112" s="979"/>
      <c r="JN112" s="979"/>
      <c r="JO112" s="966"/>
      <c r="JP112" s="966"/>
      <c r="JQ112" s="980"/>
      <c r="JR112" s="980"/>
      <c r="JS112" s="980"/>
      <c r="JT112" s="966"/>
      <c r="JU112" s="966"/>
      <c r="JV112" s="978"/>
      <c r="JW112" s="973"/>
      <c r="JX112" s="978"/>
      <c r="JY112" s="973"/>
      <c r="JZ112" s="979"/>
      <c r="KA112" s="979"/>
      <c r="KB112" s="966"/>
      <c r="KC112" s="966"/>
      <c r="KD112" s="980"/>
      <c r="KE112" s="980"/>
      <c r="KF112" s="980"/>
      <c r="KG112" s="966"/>
      <c r="KH112" s="966"/>
      <c r="KI112" s="978"/>
      <c r="KJ112" s="973"/>
      <c r="KK112" s="978"/>
      <c r="KL112" s="973"/>
      <c r="KM112" s="979"/>
      <c r="KN112" s="979"/>
      <c r="KO112" s="966"/>
      <c r="KP112" s="966"/>
      <c r="KQ112" s="980"/>
      <c r="KR112" s="980"/>
      <c r="KS112" s="980"/>
      <c r="KT112" s="966"/>
      <c r="KU112" s="966"/>
      <c r="KV112" s="978"/>
      <c r="KW112" s="973"/>
      <c r="KX112" s="978"/>
      <c r="KY112" s="973"/>
      <c r="KZ112" s="979"/>
      <c r="LA112" s="979"/>
      <c r="LB112" s="966"/>
      <c r="LC112" s="966"/>
      <c r="LD112" s="980"/>
      <c r="LE112" s="980"/>
      <c r="LF112" s="980"/>
      <c r="LG112" s="966"/>
      <c r="LH112" s="966"/>
      <c r="LI112" s="978"/>
      <c r="LJ112" s="973"/>
      <c r="LK112" s="978"/>
      <c r="LL112" s="973"/>
      <c r="LM112" s="979"/>
      <c r="LN112" s="979"/>
      <c r="LO112" s="966"/>
      <c r="LP112" s="966"/>
      <c r="LQ112" s="980"/>
      <c r="LR112" s="980"/>
      <c r="LS112" s="980"/>
      <c r="LT112" s="966"/>
      <c r="LU112" s="966"/>
      <c r="LV112" s="978"/>
      <c r="LW112" s="973"/>
      <c r="LX112" s="978"/>
      <c r="LY112" s="973"/>
      <c r="LZ112" s="979"/>
      <c r="MA112" s="979"/>
      <c r="MB112" s="966"/>
      <c r="MC112" s="966"/>
      <c r="MD112" s="980"/>
      <c r="ME112" s="980"/>
      <c r="MF112" s="980"/>
      <c r="MG112" s="966"/>
    </row>
    <row r="113" spans="1:345" s="22" customFormat="1">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6"/>
      <c r="N113" s="992"/>
      <c r="O113" s="993"/>
      <c r="P113" s="993"/>
      <c r="Q113" s="994">
        <f t="shared" si="58"/>
        <v>0</v>
      </c>
      <c r="R113" s="994">
        <f t="shared" si="59"/>
        <v>0</v>
      </c>
      <c r="S113" s="994"/>
      <c r="T113" s="991" t="str">
        <f t="shared" si="60"/>
        <v/>
      </c>
      <c r="U113" s="966"/>
      <c r="V113" s="978"/>
      <c r="W113" s="973"/>
      <c r="X113" s="978"/>
      <c r="Y113" s="973"/>
      <c r="Z113" s="979"/>
      <c r="AA113" s="979"/>
      <c r="AB113" s="966"/>
      <c r="AC113" s="966"/>
      <c r="AD113" s="980"/>
      <c r="AE113" s="980"/>
      <c r="AF113" s="980"/>
      <c r="AG113" s="966"/>
      <c r="AH113" s="966"/>
      <c r="AI113" s="978"/>
      <c r="AJ113" s="973"/>
      <c r="AK113" s="978"/>
      <c r="AL113" s="973"/>
      <c r="AM113" s="979"/>
      <c r="AN113" s="979"/>
      <c r="AO113" s="966"/>
      <c r="AP113" s="966"/>
      <c r="AQ113" s="980"/>
      <c r="AR113" s="980"/>
      <c r="AS113" s="980"/>
      <c r="AT113" s="966"/>
      <c r="AU113" s="966"/>
      <c r="AV113" s="978"/>
      <c r="AW113" s="973"/>
      <c r="AX113" s="978"/>
      <c r="AY113" s="973"/>
      <c r="AZ113" s="979"/>
      <c r="BA113" s="979"/>
      <c r="BB113" s="966"/>
      <c r="BC113" s="966"/>
      <c r="BD113" s="980"/>
      <c r="BE113" s="980"/>
      <c r="BF113" s="980"/>
      <c r="BG113" s="966"/>
      <c r="BH113" s="966"/>
      <c r="BI113" s="978"/>
      <c r="BJ113" s="973"/>
      <c r="BK113" s="978"/>
      <c r="BL113" s="973"/>
      <c r="BM113" s="979"/>
      <c r="BN113" s="979"/>
      <c r="BO113" s="966"/>
      <c r="BP113" s="966"/>
      <c r="BQ113" s="980"/>
      <c r="BR113" s="980"/>
      <c r="BS113" s="980"/>
      <c r="BT113" s="966"/>
      <c r="BU113" s="966"/>
      <c r="BV113" s="978"/>
      <c r="BW113" s="973"/>
      <c r="BX113" s="978"/>
      <c r="BY113" s="973"/>
      <c r="BZ113" s="979"/>
      <c r="CA113" s="979"/>
      <c r="CB113" s="966"/>
      <c r="CC113" s="966"/>
      <c r="CD113" s="980"/>
      <c r="CE113" s="980"/>
      <c r="CF113" s="980"/>
      <c r="CG113" s="966"/>
      <c r="CH113" s="966"/>
      <c r="CI113" s="978"/>
      <c r="CJ113" s="973"/>
      <c r="CK113" s="978"/>
      <c r="CL113" s="973"/>
      <c r="CM113" s="979"/>
      <c r="CN113" s="979"/>
      <c r="CO113" s="966"/>
      <c r="CP113" s="966"/>
      <c r="CQ113" s="980"/>
      <c r="CR113" s="980"/>
      <c r="CS113" s="980"/>
      <c r="CT113" s="966"/>
      <c r="CU113" s="966"/>
      <c r="CV113" s="978"/>
      <c r="CW113" s="973"/>
      <c r="CX113" s="978"/>
      <c r="CY113" s="973"/>
      <c r="CZ113" s="979"/>
      <c r="DA113" s="979"/>
      <c r="DB113" s="966"/>
      <c r="DC113" s="966"/>
      <c r="DD113" s="980"/>
      <c r="DE113" s="980"/>
      <c r="DF113" s="980"/>
      <c r="DG113" s="966"/>
      <c r="DH113" s="966"/>
      <c r="DI113" s="978"/>
      <c r="DJ113" s="973"/>
      <c r="DK113" s="978"/>
      <c r="DL113" s="973"/>
      <c r="DM113" s="979"/>
      <c r="DN113" s="979"/>
      <c r="DO113" s="966"/>
      <c r="DP113" s="966"/>
      <c r="DQ113" s="980"/>
      <c r="DR113" s="980"/>
      <c r="DS113" s="980"/>
      <c r="DT113" s="966"/>
      <c r="DU113" s="966"/>
      <c r="DV113" s="978"/>
      <c r="DW113" s="973"/>
      <c r="DX113" s="978"/>
      <c r="DY113" s="973"/>
      <c r="DZ113" s="979"/>
      <c r="EA113" s="979"/>
      <c r="EB113" s="966"/>
      <c r="EC113" s="966"/>
      <c r="ED113" s="980"/>
      <c r="EE113" s="980"/>
      <c r="EF113" s="980"/>
      <c r="EG113" s="966"/>
      <c r="EH113" s="966"/>
      <c r="EI113" s="978"/>
      <c r="EJ113" s="973"/>
      <c r="EK113" s="978"/>
      <c r="EL113" s="973"/>
      <c r="EM113" s="979"/>
      <c r="EN113" s="979"/>
      <c r="EO113" s="966"/>
      <c r="EP113" s="966"/>
      <c r="EQ113" s="980"/>
      <c r="ER113" s="980"/>
      <c r="ES113" s="980"/>
      <c r="ET113" s="966"/>
      <c r="EU113" s="966"/>
      <c r="EV113" s="978"/>
      <c r="EW113" s="973"/>
      <c r="EX113" s="978"/>
      <c r="EY113" s="973"/>
      <c r="EZ113" s="979"/>
      <c r="FA113" s="979"/>
      <c r="FB113" s="966"/>
      <c r="FC113" s="966"/>
      <c r="FD113" s="980"/>
      <c r="FE113" s="980"/>
      <c r="FF113" s="980"/>
      <c r="FG113" s="966"/>
      <c r="FH113" s="966"/>
      <c r="FI113" s="978"/>
      <c r="FJ113" s="973"/>
      <c r="FK113" s="978"/>
      <c r="FL113" s="973"/>
      <c r="FM113" s="979"/>
      <c r="FN113" s="979"/>
      <c r="FO113" s="966"/>
      <c r="FP113" s="966"/>
      <c r="FQ113" s="980"/>
      <c r="FR113" s="980"/>
      <c r="FS113" s="980"/>
      <c r="FT113" s="966"/>
      <c r="FU113" s="966"/>
      <c r="FV113" s="978"/>
      <c r="FW113" s="973"/>
      <c r="FX113" s="978"/>
      <c r="FY113" s="973"/>
      <c r="FZ113" s="979"/>
      <c r="GA113" s="979"/>
      <c r="GB113" s="966"/>
      <c r="GC113" s="966"/>
      <c r="GD113" s="980"/>
      <c r="GE113" s="980"/>
      <c r="GF113" s="980"/>
      <c r="GG113" s="966"/>
      <c r="GH113" s="966"/>
      <c r="GI113" s="978"/>
      <c r="GJ113" s="973"/>
      <c r="GK113" s="978"/>
      <c r="GL113" s="973"/>
      <c r="GM113" s="979"/>
      <c r="GN113" s="979"/>
      <c r="GO113" s="966"/>
      <c r="GP113" s="966"/>
      <c r="GQ113" s="980"/>
      <c r="GR113" s="980"/>
      <c r="GS113" s="980"/>
      <c r="GT113" s="966"/>
      <c r="GU113" s="966"/>
      <c r="GV113" s="978"/>
      <c r="GW113" s="973"/>
      <c r="GX113" s="978"/>
      <c r="GY113" s="973"/>
      <c r="GZ113" s="979"/>
      <c r="HA113" s="979"/>
      <c r="HB113" s="966"/>
      <c r="HC113" s="966"/>
      <c r="HD113" s="980"/>
      <c r="HE113" s="980"/>
      <c r="HF113" s="980"/>
      <c r="HG113" s="966"/>
      <c r="HH113" s="966"/>
      <c r="HI113" s="978"/>
      <c r="HJ113" s="973"/>
      <c r="HK113" s="978"/>
      <c r="HL113" s="973"/>
      <c r="HM113" s="979"/>
      <c r="HN113" s="979"/>
      <c r="HO113" s="966"/>
      <c r="HP113" s="966"/>
      <c r="HQ113" s="980"/>
      <c r="HR113" s="980"/>
      <c r="HS113" s="980"/>
      <c r="HT113" s="966"/>
      <c r="HU113" s="966"/>
      <c r="HV113" s="978"/>
      <c r="HW113" s="973"/>
      <c r="HX113" s="978"/>
      <c r="HY113" s="973"/>
      <c r="HZ113" s="979"/>
      <c r="IA113" s="979"/>
      <c r="IB113" s="966"/>
      <c r="IC113" s="966"/>
      <c r="ID113" s="980"/>
      <c r="IE113" s="980"/>
      <c r="IF113" s="980"/>
      <c r="IG113" s="966"/>
      <c r="IH113" s="966"/>
      <c r="II113" s="978"/>
      <c r="IJ113" s="973"/>
      <c r="IK113" s="978"/>
      <c r="IL113" s="973"/>
      <c r="IM113" s="979"/>
      <c r="IN113" s="979"/>
      <c r="IO113" s="966"/>
      <c r="IP113" s="966"/>
      <c r="IQ113" s="980"/>
      <c r="IR113" s="980"/>
      <c r="IS113" s="980"/>
      <c r="IT113" s="966"/>
      <c r="IU113" s="966"/>
      <c r="IV113" s="978"/>
      <c r="IW113" s="973"/>
      <c r="IX113" s="978"/>
      <c r="IY113" s="973"/>
      <c r="IZ113" s="979"/>
      <c r="JA113" s="979"/>
      <c r="JB113" s="966"/>
      <c r="JC113" s="966"/>
      <c r="JD113" s="980"/>
      <c r="JE113" s="980"/>
      <c r="JF113" s="980"/>
      <c r="JG113" s="966"/>
      <c r="JH113" s="966"/>
      <c r="JI113" s="978"/>
      <c r="JJ113" s="973"/>
      <c r="JK113" s="978"/>
      <c r="JL113" s="973"/>
      <c r="JM113" s="979"/>
      <c r="JN113" s="979"/>
      <c r="JO113" s="966"/>
      <c r="JP113" s="966"/>
      <c r="JQ113" s="980"/>
      <c r="JR113" s="980"/>
      <c r="JS113" s="980"/>
      <c r="JT113" s="966"/>
      <c r="JU113" s="966"/>
      <c r="JV113" s="978"/>
      <c r="JW113" s="973"/>
      <c r="JX113" s="978"/>
      <c r="JY113" s="973"/>
      <c r="JZ113" s="979"/>
      <c r="KA113" s="979"/>
      <c r="KB113" s="966"/>
      <c r="KC113" s="966"/>
      <c r="KD113" s="980"/>
      <c r="KE113" s="980"/>
      <c r="KF113" s="980"/>
      <c r="KG113" s="966"/>
      <c r="KH113" s="966"/>
      <c r="KI113" s="978"/>
      <c r="KJ113" s="973"/>
      <c r="KK113" s="978"/>
      <c r="KL113" s="973"/>
      <c r="KM113" s="979"/>
      <c r="KN113" s="979"/>
      <c r="KO113" s="966"/>
      <c r="KP113" s="966"/>
      <c r="KQ113" s="980"/>
      <c r="KR113" s="980"/>
      <c r="KS113" s="980"/>
      <c r="KT113" s="966"/>
      <c r="KU113" s="966"/>
      <c r="KV113" s="978"/>
      <c r="KW113" s="973"/>
      <c r="KX113" s="978"/>
      <c r="KY113" s="973"/>
      <c r="KZ113" s="979"/>
      <c r="LA113" s="979"/>
      <c r="LB113" s="966"/>
      <c r="LC113" s="966"/>
      <c r="LD113" s="980"/>
      <c r="LE113" s="980"/>
      <c r="LF113" s="980"/>
      <c r="LG113" s="966"/>
      <c r="LH113" s="966"/>
      <c r="LI113" s="978"/>
      <c r="LJ113" s="973"/>
      <c r="LK113" s="978"/>
      <c r="LL113" s="973"/>
      <c r="LM113" s="979"/>
      <c r="LN113" s="979"/>
      <c r="LO113" s="966"/>
      <c r="LP113" s="966"/>
      <c r="LQ113" s="980"/>
      <c r="LR113" s="980"/>
      <c r="LS113" s="980"/>
      <c r="LT113" s="966"/>
      <c r="LU113" s="966"/>
      <c r="LV113" s="978"/>
      <c r="LW113" s="973"/>
      <c r="LX113" s="978"/>
      <c r="LY113" s="973"/>
      <c r="LZ113" s="979"/>
      <c r="MA113" s="979"/>
      <c r="MB113" s="966"/>
      <c r="MC113" s="966"/>
      <c r="MD113" s="980"/>
      <c r="ME113" s="980"/>
      <c r="MF113" s="980"/>
      <c r="MG113" s="966"/>
    </row>
    <row r="114" spans="1:345" s="22" customFormat="1">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7"/>
      <c r="N114" s="268"/>
      <c r="O114" s="253"/>
      <c r="P114" s="253"/>
      <c r="Q114" s="254">
        <f t="shared" si="58"/>
        <v>0</v>
      </c>
      <c r="R114" s="254">
        <f t="shared" si="59"/>
        <v>0</v>
      </c>
      <c r="S114" s="254"/>
      <c r="T114" s="991" t="str">
        <f t="shared" si="60"/>
        <v/>
      </c>
      <c r="U114" s="966"/>
      <c r="V114" s="978"/>
      <c r="W114" s="973"/>
      <c r="X114" s="978"/>
      <c r="Y114" s="973"/>
      <c r="Z114" s="979"/>
      <c r="AA114" s="979"/>
      <c r="AB114" s="966"/>
      <c r="AC114" s="966"/>
      <c r="AD114" s="980"/>
      <c r="AE114" s="980"/>
      <c r="AF114" s="980"/>
      <c r="AG114" s="966"/>
      <c r="AH114" s="966"/>
      <c r="AI114" s="978"/>
      <c r="AJ114" s="973"/>
      <c r="AK114" s="978"/>
      <c r="AL114" s="973"/>
      <c r="AM114" s="979"/>
      <c r="AN114" s="979"/>
      <c r="AO114" s="966"/>
      <c r="AP114" s="966"/>
      <c r="AQ114" s="980"/>
      <c r="AR114" s="980"/>
      <c r="AS114" s="980"/>
      <c r="AT114" s="966"/>
      <c r="AU114" s="966"/>
      <c r="AV114" s="978"/>
      <c r="AW114" s="973"/>
      <c r="AX114" s="978"/>
      <c r="AY114" s="973"/>
      <c r="AZ114" s="979"/>
      <c r="BA114" s="979"/>
      <c r="BB114" s="966"/>
      <c r="BC114" s="966"/>
      <c r="BD114" s="980"/>
      <c r="BE114" s="980"/>
      <c r="BF114" s="980"/>
      <c r="BG114" s="966"/>
      <c r="BH114" s="966"/>
      <c r="BI114" s="978"/>
      <c r="BJ114" s="973"/>
      <c r="BK114" s="978"/>
      <c r="BL114" s="973"/>
      <c r="BM114" s="979"/>
      <c r="BN114" s="979"/>
      <c r="BO114" s="966"/>
      <c r="BP114" s="966"/>
      <c r="BQ114" s="980"/>
      <c r="BR114" s="980"/>
      <c r="BS114" s="980"/>
      <c r="BT114" s="966"/>
      <c r="BU114" s="966"/>
      <c r="BV114" s="978"/>
      <c r="BW114" s="973"/>
      <c r="BX114" s="978"/>
      <c r="BY114" s="973"/>
      <c r="BZ114" s="979"/>
      <c r="CA114" s="979"/>
      <c r="CB114" s="966"/>
      <c r="CC114" s="966"/>
      <c r="CD114" s="980"/>
      <c r="CE114" s="980"/>
      <c r="CF114" s="980"/>
      <c r="CG114" s="966"/>
      <c r="CH114" s="966"/>
      <c r="CI114" s="978"/>
      <c r="CJ114" s="973"/>
      <c r="CK114" s="978"/>
      <c r="CL114" s="973"/>
      <c r="CM114" s="979"/>
      <c r="CN114" s="979"/>
      <c r="CO114" s="966"/>
      <c r="CP114" s="966"/>
      <c r="CQ114" s="980"/>
      <c r="CR114" s="980"/>
      <c r="CS114" s="980"/>
      <c r="CT114" s="966"/>
      <c r="CU114" s="966"/>
      <c r="CV114" s="978"/>
      <c r="CW114" s="973"/>
      <c r="CX114" s="978"/>
      <c r="CY114" s="973"/>
      <c r="CZ114" s="979"/>
      <c r="DA114" s="979"/>
      <c r="DB114" s="966"/>
      <c r="DC114" s="966"/>
      <c r="DD114" s="980"/>
      <c r="DE114" s="980"/>
      <c r="DF114" s="980"/>
      <c r="DG114" s="966"/>
      <c r="DH114" s="966"/>
      <c r="DI114" s="978"/>
      <c r="DJ114" s="973"/>
      <c r="DK114" s="978"/>
      <c r="DL114" s="973"/>
      <c r="DM114" s="979"/>
      <c r="DN114" s="979"/>
      <c r="DO114" s="966"/>
      <c r="DP114" s="966"/>
      <c r="DQ114" s="980"/>
      <c r="DR114" s="980"/>
      <c r="DS114" s="980"/>
      <c r="DT114" s="966"/>
      <c r="DU114" s="966"/>
      <c r="DV114" s="978"/>
      <c r="DW114" s="973"/>
      <c r="DX114" s="978"/>
      <c r="DY114" s="973"/>
      <c r="DZ114" s="979"/>
      <c r="EA114" s="979"/>
      <c r="EB114" s="966"/>
      <c r="EC114" s="966"/>
      <c r="ED114" s="980"/>
      <c r="EE114" s="980"/>
      <c r="EF114" s="980"/>
      <c r="EG114" s="966"/>
      <c r="EH114" s="966"/>
      <c r="EI114" s="978"/>
      <c r="EJ114" s="973"/>
      <c r="EK114" s="978"/>
      <c r="EL114" s="973"/>
      <c r="EM114" s="979"/>
      <c r="EN114" s="979"/>
      <c r="EO114" s="966"/>
      <c r="EP114" s="966"/>
      <c r="EQ114" s="980"/>
      <c r="ER114" s="980"/>
      <c r="ES114" s="980"/>
      <c r="ET114" s="966"/>
      <c r="EU114" s="966"/>
      <c r="EV114" s="978"/>
      <c r="EW114" s="973"/>
      <c r="EX114" s="978"/>
      <c r="EY114" s="973"/>
      <c r="EZ114" s="979"/>
      <c r="FA114" s="979"/>
      <c r="FB114" s="966"/>
      <c r="FC114" s="966"/>
      <c r="FD114" s="980"/>
      <c r="FE114" s="980"/>
      <c r="FF114" s="980"/>
      <c r="FG114" s="966"/>
      <c r="FH114" s="966"/>
      <c r="FI114" s="978"/>
      <c r="FJ114" s="973"/>
      <c r="FK114" s="978"/>
      <c r="FL114" s="973"/>
      <c r="FM114" s="979"/>
      <c r="FN114" s="979"/>
      <c r="FO114" s="966"/>
      <c r="FP114" s="966"/>
      <c r="FQ114" s="980"/>
      <c r="FR114" s="980"/>
      <c r="FS114" s="980"/>
      <c r="FT114" s="966"/>
      <c r="FU114" s="966"/>
      <c r="FV114" s="978"/>
      <c r="FW114" s="973"/>
      <c r="FX114" s="978"/>
      <c r="FY114" s="973"/>
      <c r="FZ114" s="979"/>
      <c r="GA114" s="979"/>
      <c r="GB114" s="966"/>
      <c r="GC114" s="966"/>
      <c r="GD114" s="980"/>
      <c r="GE114" s="980"/>
      <c r="GF114" s="980"/>
      <c r="GG114" s="966"/>
      <c r="GH114" s="966"/>
      <c r="GI114" s="978"/>
      <c r="GJ114" s="973"/>
      <c r="GK114" s="978"/>
      <c r="GL114" s="973"/>
      <c r="GM114" s="979"/>
      <c r="GN114" s="979"/>
      <c r="GO114" s="966"/>
      <c r="GP114" s="966"/>
      <c r="GQ114" s="980"/>
      <c r="GR114" s="980"/>
      <c r="GS114" s="980"/>
      <c r="GT114" s="966"/>
      <c r="GU114" s="966"/>
      <c r="GV114" s="978"/>
      <c r="GW114" s="973"/>
      <c r="GX114" s="978"/>
      <c r="GY114" s="973"/>
      <c r="GZ114" s="979"/>
      <c r="HA114" s="979"/>
      <c r="HB114" s="966"/>
      <c r="HC114" s="966"/>
      <c r="HD114" s="980"/>
      <c r="HE114" s="980"/>
      <c r="HF114" s="980"/>
      <c r="HG114" s="966"/>
      <c r="HH114" s="966"/>
      <c r="HI114" s="978"/>
      <c r="HJ114" s="973"/>
      <c r="HK114" s="978"/>
      <c r="HL114" s="973"/>
      <c r="HM114" s="979"/>
      <c r="HN114" s="979"/>
      <c r="HO114" s="966"/>
      <c r="HP114" s="966"/>
      <c r="HQ114" s="980"/>
      <c r="HR114" s="980"/>
      <c r="HS114" s="980"/>
      <c r="HT114" s="966"/>
      <c r="HU114" s="966"/>
      <c r="HV114" s="978"/>
      <c r="HW114" s="973"/>
      <c r="HX114" s="978"/>
      <c r="HY114" s="973"/>
      <c r="HZ114" s="979"/>
      <c r="IA114" s="979"/>
      <c r="IB114" s="966"/>
      <c r="IC114" s="966"/>
      <c r="ID114" s="980"/>
      <c r="IE114" s="980"/>
      <c r="IF114" s="980"/>
      <c r="IG114" s="966"/>
      <c r="IH114" s="966"/>
      <c r="II114" s="978"/>
      <c r="IJ114" s="973"/>
      <c r="IK114" s="978"/>
      <c r="IL114" s="973"/>
      <c r="IM114" s="979"/>
      <c r="IN114" s="979"/>
      <c r="IO114" s="966"/>
      <c r="IP114" s="966"/>
      <c r="IQ114" s="980"/>
      <c r="IR114" s="980"/>
      <c r="IS114" s="980"/>
      <c r="IT114" s="966"/>
      <c r="IU114" s="966"/>
      <c r="IV114" s="978"/>
      <c r="IW114" s="973"/>
      <c r="IX114" s="978"/>
      <c r="IY114" s="973"/>
      <c r="IZ114" s="979"/>
      <c r="JA114" s="979"/>
      <c r="JB114" s="966"/>
      <c r="JC114" s="966"/>
      <c r="JD114" s="980"/>
      <c r="JE114" s="980"/>
      <c r="JF114" s="980"/>
      <c r="JG114" s="966"/>
      <c r="JH114" s="966"/>
      <c r="JI114" s="978"/>
      <c r="JJ114" s="973"/>
      <c r="JK114" s="978"/>
      <c r="JL114" s="973"/>
      <c r="JM114" s="979"/>
      <c r="JN114" s="979"/>
      <c r="JO114" s="966"/>
      <c r="JP114" s="966"/>
      <c r="JQ114" s="980"/>
      <c r="JR114" s="980"/>
      <c r="JS114" s="980"/>
      <c r="JT114" s="966"/>
      <c r="JU114" s="966"/>
      <c r="JV114" s="978"/>
      <c r="JW114" s="973"/>
      <c r="JX114" s="978"/>
      <c r="JY114" s="973"/>
      <c r="JZ114" s="979"/>
      <c r="KA114" s="979"/>
      <c r="KB114" s="966"/>
      <c r="KC114" s="966"/>
      <c r="KD114" s="980"/>
      <c r="KE114" s="980"/>
      <c r="KF114" s="980"/>
      <c r="KG114" s="966"/>
      <c r="KH114" s="966"/>
      <c r="KI114" s="978"/>
      <c r="KJ114" s="973"/>
      <c r="KK114" s="978"/>
      <c r="KL114" s="973"/>
      <c r="KM114" s="979"/>
      <c r="KN114" s="979"/>
      <c r="KO114" s="966"/>
      <c r="KP114" s="966"/>
      <c r="KQ114" s="980"/>
      <c r="KR114" s="980"/>
      <c r="KS114" s="980"/>
      <c r="KT114" s="966"/>
      <c r="KU114" s="966"/>
      <c r="KV114" s="978"/>
      <c r="KW114" s="973"/>
      <c r="KX114" s="978"/>
      <c r="KY114" s="973"/>
      <c r="KZ114" s="979"/>
      <c r="LA114" s="979"/>
      <c r="LB114" s="966"/>
      <c r="LC114" s="966"/>
      <c r="LD114" s="980"/>
      <c r="LE114" s="980"/>
      <c r="LF114" s="980"/>
      <c r="LG114" s="966"/>
      <c r="LH114" s="966"/>
      <c r="LI114" s="978"/>
      <c r="LJ114" s="973"/>
      <c r="LK114" s="978"/>
      <c r="LL114" s="973"/>
      <c r="LM114" s="979"/>
      <c r="LN114" s="979"/>
      <c r="LO114" s="966"/>
      <c r="LP114" s="966"/>
      <c r="LQ114" s="980"/>
      <c r="LR114" s="980"/>
      <c r="LS114" s="980"/>
      <c r="LT114" s="966"/>
      <c r="LU114" s="966"/>
      <c r="LV114" s="978"/>
      <c r="LW114" s="973"/>
      <c r="LX114" s="978"/>
      <c r="LY114" s="973"/>
      <c r="LZ114" s="979"/>
      <c r="MA114" s="979"/>
      <c r="MB114" s="966"/>
      <c r="MC114" s="966"/>
      <c r="MD114" s="980"/>
      <c r="ME114" s="980"/>
      <c r="MF114" s="980"/>
      <c r="MG114" s="966"/>
    </row>
    <row r="115" spans="1:345" s="22" customFormat="1" ht="24" customHeight="1">
      <c r="A115" s="193"/>
      <c r="B115" s="205" t="str">
        <f>Language!$E$216</f>
        <v>Kwart finale</v>
      </c>
      <c r="C115" s="211"/>
      <c r="D115" s="211"/>
      <c r="E115" s="208"/>
      <c r="F115" s="212"/>
      <c r="G115" s="213"/>
      <c r="I115" s="205" t="str">
        <f>$B115</f>
        <v>Kwart finale</v>
      </c>
      <c r="J115" s="207"/>
      <c r="K115" s="207"/>
      <c r="L115" s="208"/>
      <c r="M115" s="236"/>
      <c r="N115" s="237"/>
      <c r="O115" s="209"/>
      <c r="P115" s="220"/>
      <c r="Q115" s="208"/>
      <c r="R115" s="208"/>
      <c r="S115" s="208"/>
      <c r="T115" s="987"/>
      <c r="U115" s="966"/>
      <c r="V115" s="972"/>
      <c r="W115" s="972"/>
      <c r="X115" s="972"/>
      <c r="Y115" s="973"/>
      <c r="Z115" s="974"/>
      <c r="AA115" s="975"/>
      <c r="AB115" s="976"/>
      <c r="AC115" s="977"/>
      <c r="AD115" s="973"/>
      <c r="AE115" s="973"/>
      <c r="AF115" s="973"/>
      <c r="AG115" s="973"/>
      <c r="AH115" s="966"/>
      <c r="AI115" s="972"/>
      <c r="AJ115" s="972"/>
      <c r="AK115" s="972"/>
      <c r="AL115" s="973"/>
      <c r="AM115" s="974"/>
      <c r="AN115" s="975"/>
      <c r="AO115" s="976"/>
      <c r="AP115" s="977"/>
      <c r="AQ115" s="973"/>
      <c r="AR115" s="973"/>
      <c r="AS115" s="973"/>
      <c r="AT115" s="973"/>
      <c r="AU115" s="966"/>
      <c r="AV115" s="972"/>
      <c r="AW115" s="972"/>
      <c r="AX115" s="972"/>
      <c r="AY115" s="973"/>
      <c r="AZ115" s="974"/>
      <c r="BA115" s="975"/>
      <c r="BB115" s="976"/>
      <c r="BC115" s="977"/>
      <c r="BD115" s="973"/>
      <c r="BE115" s="973"/>
      <c r="BF115" s="973"/>
      <c r="BG115" s="973"/>
      <c r="BH115" s="966"/>
      <c r="BI115" s="972"/>
      <c r="BJ115" s="972"/>
      <c r="BK115" s="972"/>
      <c r="BL115" s="973"/>
      <c r="BM115" s="974"/>
      <c r="BN115" s="975"/>
      <c r="BO115" s="976"/>
      <c r="BP115" s="977"/>
      <c r="BQ115" s="973"/>
      <c r="BR115" s="973"/>
      <c r="BS115" s="973"/>
      <c r="BT115" s="973"/>
      <c r="BU115" s="966"/>
      <c r="BV115" s="972"/>
      <c r="BW115" s="972"/>
      <c r="BX115" s="972"/>
      <c r="BY115" s="973"/>
      <c r="BZ115" s="974"/>
      <c r="CA115" s="975"/>
      <c r="CB115" s="976"/>
      <c r="CC115" s="977"/>
      <c r="CD115" s="973"/>
      <c r="CE115" s="973"/>
      <c r="CF115" s="973"/>
      <c r="CG115" s="973"/>
      <c r="CH115" s="966"/>
      <c r="CI115" s="972"/>
      <c r="CJ115" s="972"/>
      <c r="CK115" s="972"/>
      <c r="CL115" s="973"/>
      <c r="CM115" s="974"/>
      <c r="CN115" s="975"/>
      <c r="CO115" s="976"/>
      <c r="CP115" s="977"/>
      <c r="CQ115" s="973"/>
      <c r="CR115" s="973"/>
      <c r="CS115" s="973"/>
      <c r="CT115" s="973"/>
      <c r="CU115" s="966"/>
      <c r="CV115" s="972"/>
      <c r="CW115" s="972"/>
      <c r="CX115" s="972"/>
      <c r="CY115" s="973"/>
      <c r="CZ115" s="974"/>
      <c r="DA115" s="975"/>
      <c r="DB115" s="976"/>
      <c r="DC115" s="977"/>
      <c r="DD115" s="973"/>
      <c r="DE115" s="973"/>
      <c r="DF115" s="973"/>
      <c r="DG115" s="973"/>
      <c r="DH115" s="966"/>
      <c r="DI115" s="972"/>
      <c r="DJ115" s="972"/>
      <c r="DK115" s="972"/>
      <c r="DL115" s="973"/>
      <c r="DM115" s="974"/>
      <c r="DN115" s="975"/>
      <c r="DO115" s="976"/>
      <c r="DP115" s="977"/>
      <c r="DQ115" s="973"/>
      <c r="DR115" s="973"/>
      <c r="DS115" s="973"/>
      <c r="DT115" s="973"/>
      <c r="DU115" s="966"/>
      <c r="DV115" s="972"/>
      <c r="DW115" s="972"/>
      <c r="DX115" s="972"/>
      <c r="DY115" s="973"/>
      <c r="DZ115" s="974"/>
      <c r="EA115" s="975"/>
      <c r="EB115" s="976"/>
      <c r="EC115" s="977"/>
      <c r="ED115" s="973"/>
      <c r="EE115" s="973"/>
      <c r="EF115" s="973"/>
      <c r="EG115" s="973"/>
      <c r="EH115" s="966"/>
      <c r="EI115" s="972"/>
      <c r="EJ115" s="972"/>
      <c r="EK115" s="972"/>
      <c r="EL115" s="973"/>
      <c r="EM115" s="974"/>
      <c r="EN115" s="975"/>
      <c r="EO115" s="976"/>
      <c r="EP115" s="977"/>
      <c r="EQ115" s="973"/>
      <c r="ER115" s="973"/>
      <c r="ES115" s="973"/>
      <c r="ET115" s="973"/>
      <c r="EU115" s="966"/>
      <c r="EV115" s="972"/>
      <c r="EW115" s="972"/>
      <c r="EX115" s="972"/>
      <c r="EY115" s="973"/>
      <c r="EZ115" s="974"/>
      <c r="FA115" s="975"/>
      <c r="FB115" s="976"/>
      <c r="FC115" s="977"/>
      <c r="FD115" s="973"/>
      <c r="FE115" s="973"/>
      <c r="FF115" s="973"/>
      <c r="FG115" s="973"/>
      <c r="FH115" s="966"/>
      <c r="FI115" s="972"/>
      <c r="FJ115" s="972"/>
      <c r="FK115" s="972"/>
      <c r="FL115" s="973"/>
      <c r="FM115" s="974"/>
      <c r="FN115" s="975"/>
      <c r="FO115" s="976"/>
      <c r="FP115" s="977"/>
      <c r="FQ115" s="973"/>
      <c r="FR115" s="973"/>
      <c r="FS115" s="973"/>
      <c r="FT115" s="973"/>
      <c r="FU115" s="966"/>
      <c r="FV115" s="972"/>
      <c r="FW115" s="972"/>
      <c r="FX115" s="972"/>
      <c r="FY115" s="973"/>
      <c r="FZ115" s="974"/>
      <c r="GA115" s="975"/>
      <c r="GB115" s="976"/>
      <c r="GC115" s="977"/>
      <c r="GD115" s="973"/>
      <c r="GE115" s="973"/>
      <c r="GF115" s="973"/>
      <c r="GG115" s="973"/>
      <c r="GH115" s="966"/>
      <c r="GI115" s="972"/>
      <c r="GJ115" s="972"/>
      <c r="GK115" s="972"/>
      <c r="GL115" s="973"/>
      <c r="GM115" s="974"/>
      <c r="GN115" s="975"/>
      <c r="GO115" s="976"/>
      <c r="GP115" s="977"/>
      <c r="GQ115" s="973"/>
      <c r="GR115" s="973"/>
      <c r="GS115" s="973"/>
      <c r="GT115" s="973"/>
      <c r="GU115" s="966"/>
      <c r="GV115" s="972"/>
      <c r="GW115" s="972"/>
      <c r="GX115" s="972"/>
      <c r="GY115" s="973"/>
      <c r="GZ115" s="974"/>
      <c r="HA115" s="975"/>
      <c r="HB115" s="976"/>
      <c r="HC115" s="977"/>
      <c r="HD115" s="973"/>
      <c r="HE115" s="973"/>
      <c r="HF115" s="973"/>
      <c r="HG115" s="973"/>
      <c r="HH115" s="966"/>
      <c r="HI115" s="972"/>
      <c r="HJ115" s="972"/>
      <c r="HK115" s="972"/>
      <c r="HL115" s="973"/>
      <c r="HM115" s="974"/>
      <c r="HN115" s="975"/>
      <c r="HO115" s="976"/>
      <c r="HP115" s="977"/>
      <c r="HQ115" s="973"/>
      <c r="HR115" s="973"/>
      <c r="HS115" s="973"/>
      <c r="HT115" s="973"/>
      <c r="HU115" s="966"/>
      <c r="HV115" s="972"/>
      <c r="HW115" s="972"/>
      <c r="HX115" s="972"/>
      <c r="HY115" s="973"/>
      <c r="HZ115" s="974"/>
      <c r="IA115" s="975"/>
      <c r="IB115" s="976"/>
      <c r="IC115" s="977"/>
      <c r="ID115" s="973"/>
      <c r="IE115" s="973"/>
      <c r="IF115" s="973"/>
      <c r="IG115" s="973"/>
      <c r="IH115" s="966"/>
      <c r="II115" s="972"/>
      <c r="IJ115" s="972"/>
      <c r="IK115" s="972"/>
      <c r="IL115" s="973"/>
      <c r="IM115" s="974"/>
      <c r="IN115" s="975"/>
      <c r="IO115" s="976"/>
      <c r="IP115" s="977"/>
      <c r="IQ115" s="973"/>
      <c r="IR115" s="973"/>
      <c r="IS115" s="973"/>
      <c r="IT115" s="973"/>
      <c r="IU115" s="966"/>
      <c r="IV115" s="972"/>
      <c r="IW115" s="972"/>
      <c r="IX115" s="972"/>
      <c r="IY115" s="973"/>
      <c r="IZ115" s="974"/>
      <c r="JA115" s="975"/>
      <c r="JB115" s="976"/>
      <c r="JC115" s="977"/>
      <c r="JD115" s="973"/>
      <c r="JE115" s="973"/>
      <c r="JF115" s="973"/>
      <c r="JG115" s="973"/>
      <c r="JH115" s="966"/>
      <c r="JI115" s="972"/>
      <c r="JJ115" s="972"/>
      <c r="JK115" s="972"/>
      <c r="JL115" s="973"/>
      <c r="JM115" s="974"/>
      <c r="JN115" s="975"/>
      <c r="JO115" s="976"/>
      <c r="JP115" s="977"/>
      <c r="JQ115" s="973"/>
      <c r="JR115" s="973"/>
      <c r="JS115" s="973"/>
      <c r="JT115" s="973"/>
      <c r="JU115" s="966"/>
      <c r="JV115" s="972"/>
      <c r="JW115" s="972"/>
      <c r="JX115" s="972"/>
      <c r="JY115" s="973"/>
      <c r="JZ115" s="974"/>
      <c r="KA115" s="975"/>
      <c r="KB115" s="976"/>
      <c r="KC115" s="977"/>
      <c r="KD115" s="973"/>
      <c r="KE115" s="973"/>
      <c r="KF115" s="973"/>
      <c r="KG115" s="973"/>
      <c r="KH115" s="966"/>
      <c r="KI115" s="972"/>
      <c r="KJ115" s="972"/>
      <c r="KK115" s="972"/>
      <c r="KL115" s="973"/>
      <c r="KM115" s="974"/>
      <c r="KN115" s="975"/>
      <c r="KO115" s="976"/>
      <c r="KP115" s="977"/>
      <c r="KQ115" s="973"/>
      <c r="KR115" s="973"/>
      <c r="KS115" s="973"/>
      <c r="KT115" s="973"/>
      <c r="KU115" s="966"/>
      <c r="KV115" s="972"/>
      <c r="KW115" s="972"/>
      <c r="KX115" s="972"/>
      <c r="KY115" s="973"/>
      <c r="KZ115" s="974"/>
      <c r="LA115" s="975"/>
      <c r="LB115" s="976"/>
      <c r="LC115" s="977"/>
      <c r="LD115" s="973"/>
      <c r="LE115" s="973"/>
      <c r="LF115" s="973"/>
      <c r="LG115" s="973"/>
      <c r="LH115" s="966"/>
      <c r="LI115" s="972"/>
      <c r="LJ115" s="972"/>
      <c r="LK115" s="972"/>
      <c r="LL115" s="973"/>
      <c r="LM115" s="974"/>
      <c r="LN115" s="975"/>
      <c r="LO115" s="976"/>
      <c r="LP115" s="977"/>
      <c r="LQ115" s="973"/>
      <c r="LR115" s="973"/>
      <c r="LS115" s="973"/>
      <c r="LT115" s="973"/>
      <c r="LU115" s="966"/>
      <c r="LV115" s="972"/>
      <c r="LW115" s="972"/>
      <c r="LX115" s="972"/>
      <c r="LY115" s="973"/>
      <c r="LZ115" s="974"/>
      <c r="MA115" s="975"/>
      <c r="MB115" s="976"/>
      <c r="MC115" s="977"/>
      <c r="MD115" s="973"/>
      <c r="ME115" s="973"/>
      <c r="MF115" s="973"/>
      <c r="MG115" s="973"/>
    </row>
    <row r="116" spans="1:345" s="22" customFormat="1">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4"/>
      <c r="N116" s="265"/>
      <c r="O116" s="250"/>
      <c r="P116" s="250"/>
      <c r="Q116" s="251">
        <f>COUNTIF(I$116:I$119,I116)+COUNTIF(K$116:K$119,I116)</f>
        <v>0</v>
      </c>
      <c r="R116" s="251">
        <f>COUNTIF(I$116:I$119,K116)+COUNTIF(K$116:K$119,K116)</f>
        <v>0</v>
      </c>
      <c r="S116" s="251"/>
      <c r="T116" s="991" t="str">
        <f>IF(OR(I116&lt;&gt;"",K116&lt;&gt;""),IF(Q116&lt;&gt;1,0,COUNTIF($B$116:$B$119,I116)+COUNTIF($D$116:$D$119,I116))+IF(R116&lt;&gt;1,0,COUNTIF($B$116:$B$119,K116)+COUNTIF($D$116:$D$119,K116)),"")</f>
        <v/>
      </c>
      <c r="U116" s="966"/>
      <c r="V116" s="978"/>
      <c r="W116" s="973"/>
      <c r="X116" s="978"/>
      <c r="Y116" s="973"/>
      <c r="Z116" s="979"/>
      <c r="AA116" s="979"/>
      <c r="AB116" s="966"/>
      <c r="AC116" s="966"/>
      <c r="AD116" s="980"/>
      <c r="AE116" s="980"/>
      <c r="AF116" s="980"/>
      <c r="AG116" s="966"/>
      <c r="AH116" s="966"/>
      <c r="AI116" s="978"/>
      <c r="AJ116" s="973"/>
      <c r="AK116" s="978"/>
      <c r="AL116" s="973"/>
      <c r="AM116" s="979"/>
      <c r="AN116" s="979"/>
      <c r="AO116" s="966"/>
      <c r="AP116" s="966"/>
      <c r="AQ116" s="980"/>
      <c r="AR116" s="980"/>
      <c r="AS116" s="980"/>
      <c r="AT116" s="966"/>
      <c r="AU116" s="966"/>
      <c r="AV116" s="978"/>
      <c r="AW116" s="973"/>
      <c r="AX116" s="978"/>
      <c r="AY116" s="973"/>
      <c r="AZ116" s="979"/>
      <c r="BA116" s="979"/>
      <c r="BB116" s="966"/>
      <c r="BC116" s="966"/>
      <c r="BD116" s="980"/>
      <c r="BE116" s="980"/>
      <c r="BF116" s="980"/>
      <c r="BG116" s="966"/>
      <c r="BH116" s="966"/>
      <c r="BI116" s="978"/>
      <c r="BJ116" s="973"/>
      <c r="BK116" s="978"/>
      <c r="BL116" s="973"/>
      <c r="BM116" s="979"/>
      <c r="BN116" s="979"/>
      <c r="BO116" s="966"/>
      <c r="BP116" s="966"/>
      <c r="BQ116" s="980"/>
      <c r="BR116" s="980"/>
      <c r="BS116" s="980"/>
      <c r="BT116" s="966"/>
      <c r="BU116" s="966"/>
      <c r="BV116" s="978"/>
      <c r="BW116" s="973"/>
      <c r="BX116" s="978"/>
      <c r="BY116" s="973"/>
      <c r="BZ116" s="979"/>
      <c r="CA116" s="979"/>
      <c r="CB116" s="966"/>
      <c r="CC116" s="966"/>
      <c r="CD116" s="980"/>
      <c r="CE116" s="980"/>
      <c r="CF116" s="980"/>
      <c r="CG116" s="966"/>
      <c r="CH116" s="966"/>
      <c r="CI116" s="978"/>
      <c r="CJ116" s="973"/>
      <c r="CK116" s="978"/>
      <c r="CL116" s="973"/>
      <c r="CM116" s="979"/>
      <c r="CN116" s="979"/>
      <c r="CO116" s="966"/>
      <c r="CP116" s="966"/>
      <c r="CQ116" s="980"/>
      <c r="CR116" s="980"/>
      <c r="CS116" s="980"/>
      <c r="CT116" s="966"/>
      <c r="CU116" s="966"/>
      <c r="CV116" s="978"/>
      <c r="CW116" s="973"/>
      <c r="CX116" s="978"/>
      <c r="CY116" s="973"/>
      <c r="CZ116" s="979"/>
      <c r="DA116" s="979"/>
      <c r="DB116" s="966"/>
      <c r="DC116" s="966"/>
      <c r="DD116" s="980"/>
      <c r="DE116" s="980"/>
      <c r="DF116" s="980"/>
      <c r="DG116" s="966"/>
      <c r="DH116" s="966"/>
      <c r="DI116" s="978"/>
      <c r="DJ116" s="973"/>
      <c r="DK116" s="978"/>
      <c r="DL116" s="973"/>
      <c r="DM116" s="979"/>
      <c r="DN116" s="979"/>
      <c r="DO116" s="966"/>
      <c r="DP116" s="966"/>
      <c r="DQ116" s="980"/>
      <c r="DR116" s="980"/>
      <c r="DS116" s="980"/>
      <c r="DT116" s="966"/>
      <c r="DU116" s="966"/>
      <c r="DV116" s="978"/>
      <c r="DW116" s="973"/>
      <c r="DX116" s="978"/>
      <c r="DY116" s="973"/>
      <c r="DZ116" s="979"/>
      <c r="EA116" s="979"/>
      <c r="EB116" s="966"/>
      <c r="EC116" s="966"/>
      <c r="ED116" s="980"/>
      <c r="EE116" s="980"/>
      <c r="EF116" s="980"/>
      <c r="EG116" s="966"/>
      <c r="EH116" s="966"/>
      <c r="EI116" s="978"/>
      <c r="EJ116" s="973"/>
      <c r="EK116" s="978"/>
      <c r="EL116" s="973"/>
      <c r="EM116" s="979"/>
      <c r="EN116" s="979"/>
      <c r="EO116" s="966"/>
      <c r="EP116" s="966"/>
      <c r="EQ116" s="980"/>
      <c r="ER116" s="980"/>
      <c r="ES116" s="980"/>
      <c r="ET116" s="966"/>
      <c r="EU116" s="966"/>
      <c r="EV116" s="978"/>
      <c r="EW116" s="973"/>
      <c r="EX116" s="978"/>
      <c r="EY116" s="973"/>
      <c r="EZ116" s="979"/>
      <c r="FA116" s="979"/>
      <c r="FB116" s="966"/>
      <c r="FC116" s="966"/>
      <c r="FD116" s="980"/>
      <c r="FE116" s="980"/>
      <c r="FF116" s="980"/>
      <c r="FG116" s="966"/>
      <c r="FH116" s="966"/>
      <c r="FI116" s="978"/>
      <c r="FJ116" s="973"/>
      <c r="FK116" s="978"/>
      <c r="FL116" s="973"/>
      <c r="FM116" s="979"/>
      <c r="FN116" s="979"/>
      <c r="FO116" s="966"/>
      <c r="FP116" s="966"/>
      <c r="FQ116" s="980"/>
      <c r="FR116" s="980"/>
      <c r="FS116" s="980"/>
      <c r="FT116" s="966"/>
      <c r="FU116" s="966"/>
      <c r="FV116" s="978"/>
      <c r="FW116" s="973"/>
      <c r="FX116" s="978"/>
      <c r="FY116" s="973"/>
      <c r="FZ116" s="979"/>
      <c r="GA116" s="979"/>
      <c r="GB116" s="966"/>
      <c r="GC116" s="966"/>
      <c r="GD116" s="980"/>
      <c r="GE116" s="980"/>
      <c r="GF116" s="980"/>
      <c r="GG116" s="966"/>
      <c r="GH116" s="966"/>
      <c r="GI116" s="978"/>
      <c r="GJ116" s="973"/>
      <c r="GK116" s="978"/>
      <c r="GL116" s="973"/>
      <c r="GM116" s="979"/>
      <c r="GN116" s="979"/>
      <c r="GO116" s="966"/>
      <c r="GP116" s="966"/>
      <c r="GQ116" s="980"/>
      <c r="GR116" s="980"/>
      <c r="GS116" s="980"/>
      <c r="GT116" s="966"/>
      <c r="GU116" s="966"/>
      <c r="GV116" s="978"/>
      <c r="GW116" s="973"/>
      <c r="GX116" s="978"/>
      <c r="GY116" s="973"/>
      <c r="GZ116" s="979"/>
      <c r="HA116" s="979"/>
      <c r="HB116" s="966"/>
      <c r="HC116" s="966"/>
      <c r="HD116" s="980"/>
      <c r="HE116" s="980"/>
      <c r="HF116" s="980"/>
      <c r="HG116" s="966"/>
      <c r="HH116" s="966"/>
      <c r="HI116" s="978"/>
      <c r="HJ116" s="973"/>
      <c r="HK116" s="978"/>
      <c r="HL116" s="973"/>
      <c r="HM116" s="979"/>
      <c r="HN116" s="979"/>
      <c r="HO116" s="966"/>
      <c r="HP116" s="966"/>
      <c r="HQ116" s="980"/>
      <c r="HR116" s="980"/>
      <c r="HS116" s="980"/>
      <c r="HT116" s="966"/>
      <c r="HU116" s="966"/>
      <c r="HV116" s="978"/>
      <c r="HW116" s="973"/>
      <c r="HX116" s="978"/>
      <c r="HY116" s="973"/>
      <c r="HZ116" s="979"/>
      <c r="IA116" s="979"/>
      <c r="IB116" s="966"/>
      <c r="IC116" s="966"/>
      <c r="ID116" s="980"/>
      <c r="IE116" s="980"/>
      <c r="IF116" s="980"/>
      <c r="IG116" s="966"/>
      <c r="IH116" s="966"/>
      <c r="II116" s="978"/>
      <c r="IJ116" s="973"/>
      <c r="IK116" s="978"/>
      <c r="IL116" s="973"/>
      <c r="IM116" s="979"/>
      <c r="IN116" s="979"/>
      <c r="IO116" s="966"/>
      <c r="IP116" s="966"/>
      <c r="IQ116" s="980"/>
      <c r="IR116" s="980"/>
      <c r="IS116" s="980"/>
      <c r="IT116" s="966"/>
      <c r="IU116" s="966"/>
      <c r="IV116" s="978"/>
      <c r="IW116" s="973"/>
      <c r="IX116" s="978"/>
      <c r="IY116" s="973"/>
      <c r="IZ116" s="979"/>
      <c r="JA116" s="979"/>
      <c r="JB116" s="966"/>
      <c r="JC116" s="966"/>
      <c r="JD116" s="980"/>
      <c r="JE116" s="980"/>
      <c r="JF116" s="980"/>
      <c r="JG116" s="966"/>
      <c r="JH116" s="966"/>
      <c r="JI116" s="978"/>
      <c r="JJ116" s="973"/>
      <c r="JK116" s="978"/>
      <c r="JL116" s="973"/>
      <c r="JM116" s="979"/>
      <c r="JN116" s="979"/>
      <c r="JO116" s="966"/>
      <c r="JP116" s="966"/>
      <c r="JQ116" s="980"/>
      <c r="JR116" s="980"/>
      <c r="JS116" s="980"/>
      <c r="JT116" s="966"/>
      <c r="JU116" s="966"/>
      <c r="JV116" s="978"/>
      <c r="JW116" s="973"/>
      <c r="JX116" s="978"/>
      <c r="JY116" s="973"/>
      <c r="JZ116" s="979"/>
      <c r="KA116" s="979"/>
      <c r="KB116" s="966"/>
      <c r="KC116" s="966"/>
      <c r="KD116" s="980"/>
      <c r="KE116" s="980"/>
      <c r="KF116" s="980"/>
      <c r="KG116" s="966"/>
      <c r="KH116" s="966"/>
      <c r="KI116" s="978"/>
      <c r="KJ116" s="973"/>
      <c r="KK116" s="978"/>
      <c r="KL116" s="973"/>
      <c r="KM116" s="979"/>
      <c r="KN116" s="979"/>
      <c r="KO116" s="966"/>
      <c r="KP116" s="966"/>
      <c r="KQ116" s="980"/>
      <c r="KR116" s="980"/>
      <c r="KS116" s="980"/>
      <c r="KT116" s="966"/>
      <c r="KU116" s="966"/>
      <c r="KV116" s="978"/>
      <c r="KW116" s="973"/>
      <c r="KX116" s="978"/>
      <c r="KY116" s="973"/>
      <c r="KZ116" s="979"/>
      <c r="LA116" s="979"/>
      <c r="LB116" s="966"/>
      <c r="LC116" s="966"/>
      <c r="LD116" s="980"/>
      <c r="LE116" s="980"/>
      <c r="LF116" s="980"/>
      <c r="LG116" s="966"/>
      <c r="LH116" s="966"/>
      <c r="LI116" s="978"/>
      <c r="LJ116" s="973"/>
      <c r="LK116" s="978"/>
      <c r="LL116" s="973"/>
      <c r="LM116" s="979"/>
      <c r="LN116" s="979"/>
      <c r="LO116" s="966"/>
      <c r="LP116" s="966"/>
      <c r="LQ116" s="980"/>
      <c r="LR116" s="980"/>
      <c r="LS116" s="980"/>
      <c r="LT116" s="966"/>
      <c r="LU116" s="966"/>
      <c r="LV116" s="978"/>
      <c r="LW116" s="973"/>
      <c r="LX116" s="978"/>
      <c r="LY116" s="973"/>
      <c r="LZ116" s="979"/>
      <c r="MA116" s="979"/>
      <c r="MB116" s="966"/>
      <c r="MC116" s="966"/>
      <c r="MD116" s="980"/>
      <c r="ME116" s="980"/>
      <c r="MF116" s="980"/>
      <c r="MG116" s="966"/>
    </row>
    <row r="117" spans="1:345" s="22" customFormat="1">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6"/>
      <c r="N117" s="992"/>
      <c r="O117" s="993"/>
      <c r="P117" s="993"/>
      <c r="Q117" s="994">
        <f>COUNTIF(I$116:I$119,I117)+COUNTIF(K$116:K$119,I117)</f>
        <v>0</v>
      </c>
      <c r="R117" s="994">
        <f>COUNTIF(I$116:I$119,K117)+COUNTIF(K$116:K$119,K117)</f>
        <v>0</v>
      </c>
      <c r="S117" s="994"/>
      <c r="T117" s="991" t="str">
        <f>IF(OR(I117&lt;&gt;"",K117&lt;&gt;""),IF(Q117&lt;&gt;1,0,COUNTIF($B$116:$B$119,I117)+COUNTIF($D$116:$D$119,I117))+IF(R117&lt;&gt;1,0,COUNTIF($B$116:$B$119,K117)+COUNTIF($D$116:$D$119,K117)),"")</f>
        <v/>
      </c>
      <c r="U117" s="966"/>
      <c r="V117" s="978"/>
      <c r="W117" s="973"/>
      <c r="X117" s="978"/>
      <c r="Y117" s="973"/>
      <c r="Z117" s="979"/>
      <c r="AA117" s="979"/>
      <c r="AB117" s="966"/>
      <c r="AC117" s="966"/>
      <c r="AD117" s="980"/>
      <c r="AE117" s="980"/>
      <c r="AF117" s="980"/>
      <c r="AG117" s="966"/>
      <c r="AH117" s="966"/>
      <c r="AI117" s="978"/>
      <c r="AJ117" s="973"/>
      <c r="AK117" s="978"/>
      <c r="AL117" s="973"/>
      <c r="AM117" s="979"/>
      <c r="AN117" s="979"/>
      <c r="AO117" s="966"/>
      <c r="AP117" s="966"/>
      <c r="AQ117" s="980"/>
      <c r="AR117" s="980"/>
      <c r="AS117" s="980"/>
      <c r="AT117" s="966"/>
      <c r="AU117" s="966"/>
      <c r="AV117" s="978"/>
      <c r="AW117" s="973"/>
      <c r="AX117" s="978"/>
      <c r="AY117" s="973"/>
      <c r="AZ117" s="979"/>
      <c r="BA117" s="979"/>
      <c r="BB117" s="966"/>
      <c r="BC117" s="966"/>
      <c r="BD117" s="980"/>
      <c r="BE117" s="980"/>
      <c r="BF117" s="980"/>
      <c r="BG117" s="966"/>
      <c r="BH117" s="966"/>
      <c r="BI117" s="978"/>
      <c r="BJ117" s="973"/>
      <c r="BK117" s="978"/>
      <c r="BL117" s="973"/>
      <c r="BM117" s="979"/>
      <c r="BN117" s="979"/>
      <c r="BO117" s="966"/>
      <c r="BP117" s="966"/>
      <c r="BQ117" s="980"/>
      <c r="BR117" s="980"/>
      <c r="BS117" s="980"/>
      <c r="BT117" s="966"/>
      <c r="BU117" s="966"/>
      <c r="BV117" s="978"/>
      <c r="BW117" s="973"/>
      <c r="BX117" s="978"/>
      <c r="BY117" s="973"/>
      <c r="BZ117" s="979"/>
      <c r="CA117" s="979"/>
      <c r="CB117" s="966"/>
      <c r="CC117" s="966"/>
      <c r="CD117" s="980"/>
      <c r="CE117" s="980"/>
      <c r="CF117" s="980"/>
      <c r="CG117" s="966"/>
      <c r="CH117" s="966"/>
      <c r="CI117" s="978"/>
      <c r="CJ117" s="973"/>
      <c r="CK117" s="978"/>
      <c r="CL117" s="973"/>
      <c r="CM117" s="979"/>
      <c r="CN117" s="979"/>
      <c r="CO117" s="966"/>
      <c r="CP117" s="966"/>
      <c r="CQ117" s="980"/>
      <c r="CR117" s="980"/>
      <c r="CS117" s="980"/>
      <c r="CT117" s="966"/>
      <c r="CU117" s="966"/>
      <c r="CV117" s="978"/>
      <c r="CW117" s="973"/>
      <c r="CX117" s="978"/>
      <c r="CY117" s="973"/>
      <c r="CZ117" s="979"/>
      <c r="DA117" s="979"/>
      <c r="DB117" s="966"/>
      <c r="DC117" s="966"/>
      <c r="DD117" s="980"/>
      <c r="DE117" s="980"/>
      <c r="DF117" s="980"/>
      <c r="DG117" s="966"/>
      <c r="DH117" s="966"/>
      <c r="DI117" s="978"/>
      <c r="DJ117" s="973"/>
      <c r="DK117" s="978"/>
      <c r="DL117" s="973"/>
      <c r="DM117" s="979"/>
      <c r="DN117" s="979"/>
      <c r="DO117" s="966"/>
      <c r="DP117" s="966"/>
      <c r="DQ117" s="980"/>
      <c r="DR117" s="980"/>
      <c r="DS117" s="980"/>
      <c r="DT117" s="966"/>
      <c r="DU117" s="966"/>
      <c r="DV117" s="978"/>
      <c r="DW117" s="973"/>
      <c r="DX117" s="978"/>
      <c r="DY117" s="973"/>
      <c r="DZ117" s="979"/>
      <c r="EA117" s="979"/>
      <c r="EB117" s="966"/>
      <c r="EC117" s="966"/>
      <c r="ED117" s="980"/>
      <c r="EE117" s="980"/>
      <c r="EF117" s="980"/>
      <c r="EG117" s="966"/>
      <c r="EH117" s="966"/>
      <c r="EI117" s="978"/>
      <c r="EJ117" s="973"/>
      <c r="EK117" s="978"/>
      <c r="EL117" s="973"/>
      <c r="EM117" s="979"/>
      <c r="EN117" s="979"/>
      <c r="EO117" s="966"/>
      <c r="EP117" s="966"/>
      <c r="EQ117" s="980"/>
      <c r="ER117" s="980"/>
      <c r="ES117" s="980"/>
      <c r="ET117" s="966"/>
      <c r="EU117" s="966"/>
      <c r="EV117" s="978"/>
      <c r="EW117" s="973"/>
      <c r="EX117" s="978"/>
      <c r="EY117" s="973"/>
      <c r="EZ117" s="979"/>
      <c r="FA117" s="979"/>
      <c r="FB117" s="966"/>
      <c r="FC117" s="966"/>
      <c r="FD117" s="980"/>
      <c r="FE117" s="980"/>
      <c r="FF117" s="980"/>
      <c r="FG117" s="966"/>
      <c r="FH117" s="966"/>
      <c r="FI117" s="978"/>
      <c r="FJ117" s="973"/>
      <c r="FK117" s="978"/>
      <c r="FL117" s="973"/>
      <c r="FM117" s="979"/>
      <c r="FN117" s="979"/>
      <c r="FO117" s="966"/>
      <c r="FP117" s="966"/>
      <c r="FQ117" s="980"/>
      <c r="FR117" s="980"/>
      <c r="FS117" s="980"/>
      <c r="FT117" s="966"/>
      <c r="FU117" s="966"/>
      <c r="FV117" s="978"/>
      <c r="FW117" s="973"/>
      <c r="FX117" s="978"/>
      <c r="FY117" s="973"/>
      <c r="FZ117" s="979"/>
      <c r="GA117" s="979"/>
      <c r="GB117" s="966"/>
      <c r="GC117" s="966"/>
      <c r="GD117" s="980"/>
      <c r="GE117" s="980"/>
      <c r="GF117" s="980"/>
      <c r="GG117" s="966"/>
      <c r="GH117" s="966"/>
      <c r="GI117" s="978"/>
      <c r="GJ117" s="973"/>
      <c r="GK117" s="978"/>
      <c r="GL117" s="973"/>
      <c r="GM117" s="979"/>
      <c r="GN117" s="979"/>
      <c r="GO117" s="966"/>
      <c r="GP117" s="966"/>
      <c r="GQ117" s="980"/>
      <c r="GR117" s="980"/>
      <c r="GS117" s="980"/>
      <c r="GT117" s="966"/>
      <c r="GU117" s="966"/>
      <c r="GV117" s="978"/>
      <c r="GW117" s="973"/>
      <c r="GX117" s="978"/>
      <c r="GY117" s="973"/>
      <c r="GZ117" s="979"/>
      <c r="HA117" s="979"/>
      <c r="HB117" s="966"/>
      <c r="HC117" s="966"/>
      <c r="HD117" s="980"/>
      <c r="HE117" s="980"/>
      <c r="HF117" s="980"/>
      <c r="HG117" s="966"/>
      <c r="HH117" s="966"/>
      <c r="HI117" s="978"/>
      <c r="HJ117" s="973"/>
      <c r="HK117" s="978"/>
      <c r="HL117" s="973"/>
      <c r="HM117" s="979"/>
      <c r="HN117" s="979"/>
      <c r="HO117" s="966"/>
      <c r="HP117" s="966"/>
      <c r="HQ117" s="980"/>
      <c r="HR117" s="980"/>
      <c r="HS117" s="980"/>
      <c r="HT117" s="966"/>
      <c r="HU117" s="966"/>
      <c r="HV117" s="978"/>
      <c r="HW117" s="973"/>
      <c r="HX117" s="978"/>
      <c r="HY117" s="973"/>
      <c r="HZ117" s="979"/>
      <c r="IA117" s="979"/>
      <c r="IB117" s="966"/>
      <c r="IC117" s="966"/>
      <c r="ID117" s="980"/>
      <c r="IE117" s="980"/>
      <c r="IF117" s="980"/>
      <c r="IG117" s="966"/>
      <c r="IH117" s="966"/>
      <c r="II117" s="978"/>
      <c r="IJ117" s="973"/>
      <c r="IK117" s="978"/>
      <c r="IL117" s="973"/>
      <c r="IM117" s="979"/>
      <c r="IN117" s="979"/>
      <c r="IO117" s="966"/>
      <c r="IP117" s="966"/>
      <c r="IQ117" s="980"/>
      <c r="IR117" s="980"/>
      <c r="IS117" s="980"/>
      <c r="IT117" s="966"/>
      <c r="IU117" s="966"/>
      <c r="IV117" s="978"/>
      <c r="IW117" s="973"/>
      <c r="IX117" s="978"/>
      <c r="IY117" s="973"/>
      <c r="IZ117" s="979"/>
      <c r="JA117" s="979"/>
      <c r="JB117" s="966"/>
      <c r="JC117" s="966"/>
      <c r="JD117" s="980"/>
      <c r="JE117" s="980"/>
      <c r="JF117" s="980"/>
      <c r="JG117" s="966"/>
      <c r="JH117" s="966"/>
      <c r="JI117" s="978"/>
      <c r="JJ117" s="973"/>
      <c r="JK117" s="978"/>
      <c r="JL117" s="973"/>
      <c r="JM117" s="979"/>
      <c r="JN117" s="979"/>
      <c r="JO117" s="966"/>
      <c r="JP117" s="966"/>
      <c r="JQ117" s="980"/>
      <c r="JR117" s="980"/>
      <c r="JS117" s="980"/>
      <c r="JT117" s="966"/>
      <c r="JU117" s="966"/>
      <c r="JV117" s="978"/>
      <c r="JW117" s="973"/>
      <c r="JX117" s="978"/>
      <c r="JY117" s="973"/>
      <c r="JZ117" s="979"/>
      <c r="KA117" s="979"/>
      <c r="KB117" s="966"/>
      <c r="KC117" s="966"/>
      <c r="KD117" s="980"/>
      <c r="KE117" s="980"/>
      <c r="KF117" s="980"/>
      <c r="KG117" s="966"/>
      <c r="KH117" s="966"/>
      <c r="KI117" s="978"/>
      <c r="KJ117" s="973"/>
      <c r="KK117" s="978"/>
      <c r="KL117" s="973"/>
      <c r="KM117" s="979"/>
      <c r="KN117" s="979"/>
      <c r="KO117" s="966"/>
      <c r="KP117" s="966"/>
      <c r="KQ117" s="980"/>
      <c r="KR117" s="980"/>
      <c r="KS117" s="980"/>
      <c r="KT117" s="966"/>
      <c r="KU117" s="966"/>
      <c r="KV117" s="978"/>
      <c r="KW117" s="973"/>
      <c r="KX117" s="978"/>
      <c r="KY117" s="973"/>
      <c r="KZ117" s="979"/>
      <c r="LA117" s="979"/>
      <c r="LB117" s="966"/>
      <c r="LC117" s="966"/>
      <c r="LD117" s="980"/>
      <c r="LE117" s="980"/>
      <c r="LF117" s="980"/>
      <c r="LG117" s="966"/>
      <c r="LH117" s="966"/>
      <c r="LI117" s="978"/>
      <c r="LJ117" s="973"/>
      <c r="LK117" s="978"/>
      <c r="LL117" s="973"/>
      <c r="LM117" s="979"/>
      <c r="LN117" s="979"/>
      <c r="LO117" s="966"/>
      <c r="LP117" s="966"/>
      <c r="LQ117" s="980"/>
      <c r="LR117" s="980"/>
      <c r="LS117" s="980"/>
      <c r="LT117" s="966"/>
      <c r="LU117" s="966"/>
      <c r="LV117" s="978"/>
      <c r="LW117" s="973"/>
      <c r="LX117" s="978"/>
      <c r="LY117" s="973"/>
      <c r="LZ117" s="979"/>
      <c r="MA117" s="979"/>
      <c r="MB117" s="966"/>
      <c r="MC117" s="966"/>
      <c r="MD117" s="980"/>
      <c r="ME117" s="980"/>
      <c r="MF117" s="980"/>
      <c r="MG117" s="966"/>
    </row>
    <row r="118" spans="1:345" s="22" customFormat="1">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6"/>
      <c r="N118" s="992"/>
      <c r="O118" s="993"/>
      <c r="P118" s="993"/>
      <c r="Q118" s="994">
        <f>COUNTIF(I$116:I$119,I118)+COUNTIF(K$116:K$119,I118)</f>
        <v>0</v>
      </c>
      <c r="R118" s="994">
        <f>COUNTIF(I$116:I$119,K118)+COUNTIF(K$116:K$119,K118)</f>
        <v>0</v>
      </c>
      <c r="S118" s="994"/>
      <c r="T118" s="991" t="str">
        <f>IF(OR(I118&lt;&gt;"",K118&lt;&gt;""),IF(Q118&lt;&gt;1,0,COUNTIF($B$116:$B$119,I118)+COUNTIF($D$116:$D$119,I118))+IF(R118&lt;&gt;1,0,COUNTIF($B$116:$B$119,K118)+COUNTIF($D$116:$D$119,K118)),"")</f>
        <v/>
      </c>
      <c r="U118" s="966"/>
      <c r="V118" s="978"/>
      <c r="W118" s="973"/>
      <c r="X118" s="978"/>
      <c r="Y118" s="973"/>
      <c r="Z118" s="979"/>
      <c r="AA118" s="979"/>
      <c r="AB118" s="966"/>
      <c r="AC118" s="966"/>
      <c r="AD118" s="980"/>
      <c r="AE118" s="980"/>
      <c r="AF118" s="980"/>
      <c r="AG118" s="966"/>
      <c r="AH118" s="966"/>
      <c r="AI118" s="978"/>
      <c r="AJ118" s="973"/>
      <c r="AK118" s="978"/>
      <c r="AL118" s="973"/>
      <c r="AM118" s="979"/>
      <c r="AN118" s="979"/>
      <c r="AO118" s="966"/>
      <c r="AP118" s="966"/>
      <c r="AQ118" s="980"/>
      <c r="AR118" s="980"/>
      <c r="AS118" s="980"/>
      <c r="AT118" s="966"/>
      <c r="AU118" s="966"/>
      <c r="AV118" s="978"/>
      <c r="AW118" s="973"/>
      <c r="AX118" s="978"/>
      <c r="AY118" s="973"/>
      <c r="AZ118" s="979"/>
      <c r="BA118" s="979"/>
      <c r="BB118" s="966"/>
      <c r="BC118" s="966"/>
      <c r="BD118" s="980"/>
      <c r="BE118" s="980"/>
      <c r="BF118" s="980"/>
      <c r="BG118" s="966"/>
      <c r="BH118" s="966"/>
      <c r="BI118" s="978"/>
      <c r="BJ118" s="973"/>
      <c r="BK118" s="978"/>
      <c r="BL118" s="973"/>
      <c r="BM118" s="979"/>
      <c r="BN118" s="979"/>
      <c r="BO118" s="966"/>
      <c r="BP118" s="966"/>
      <c r="BQ118" s="980"/>
      <c r="BR118" s="980"/>
      <c r="BS118" s="980"/>
      <c r="BT118" s="966"/>
      <c r="BU118" s="966"/>
      <c r="BV118" s="978"/>
      <c r="BW118" s="973"/>
      <c r="BX118" s="978"/>
      <c r="BY118" s="973"/>
      <c r="BZ118" s="979"/>
      <c r="CA118" s="979"/>
      <c r="CB118" s="966"/>
      <c r="CC118" s="966"/>
      <c r="CD118" s="980"/>
      <c r="CE118" s="980"/>
      <c r="CF118" s="980"/>
      <c r="CG118" s="966"/>
      <c r="CH118" s="966"/>
      <c r="CI118" s="978"/>
      <c r="CJ118" s="973"/>
      <c r="CK118" s="978"/>
      <c r="CL118" s="973"/>
      <c r="CM118" s="979"/>
      <c r="CN118" s="979"/>
      <c r="CO118" s="966"/>
      <c r="CP118" s="966"/>
      <c r="CQ118" s="980"/>
      <c r="CR118" s="980"/>
      <c r="CS118" s="980"/>
      <c r="CT118" s="966"/>
      <c r="CU118" s="966"/>
      <c r="CV118" s="978"/>
      <c r="CW118" s="973"/>
      <c r="CX118" s="978"/>
      <c r="CY118" s="973"/>
      <c r="CZ118" s="979"/>
      <c r="DA118" s="979"/>
      <c r="DB118" s="966"/>
      <c r="DC118" s="966"/>
      <c r="DD118" s="980"/>
      <c r="DE118" s="980"/>
      <c r="DF118" s="980"/>
      <c r="DG118" s="966"/>
      <c r="DH118" s="966"/>
      <c r="DI118" s="978"/>
      <c r="DJ118" s="973"/>
      <c r="DK118" s="978"/>
      <c r="DL118" s="973"/>
      <c r="DM118" s="979"/>
      <c r="DN118" s="979"/>
      <c r="DO118" s="966"/>
      <c r="DP118" s="966"/>
      <c r="DQ118" s="980"/>
      <c r="DR118" s="980"/>
      <c r="DS118" s="980"/>
      <c r="DT118" s="966"/>
      <c r="DU118" s="966"/>
      <c r="DV118" s="978"/>
      <c r="DW118" s="973"/>
      <c r="DX118" s="978"/>
      <c r="DY118" s="973"/>
      <c r="DZ118" s="979"/>
      <c r="EA118" s="979"/>
      <c r="EB118" s="966"/>
      <c r="EC118" s="966"/>
      <c r="ED118" s="980"/>
      <c r="EE118" s="980"/>
      <c r="EF118" s="980"/>
      <c r="EG118" s="966"/>
      <c r="EH118" s="966"/>
      <c r="EI118" s="978"/>
      <c r="EJ118" s="973"/>
      <c r="EK118" s="978"/>
      <c r="EL118" s="973"/>
      <c r="EM118" s="979"/>
      <c r="EN118" s="979"/>
      <c r="EO118" s="966"/>
      <c r="EP118" s="966"/>
      <c r="EQ118" s="980"/>
      <c r="ER118" s="980"/>
      <c r="ES118" s="980"/>
      <c r="ET118" s="966"/>
      <c r="EU118" s="966"/>
      <c r="EV118" s="978"/>
      <c r="EW118" s="973"/>
      <c r="EX118" s="978"/>
      <c r="EY118" s="973"/>
      <c r="EZ118" s="979"/>
      <c r="FA118" s="979"/>
      <c r="FB118" s="966"/>
      <c r="FC118" s="966"/>
      <c r="FD118" s="980"/>
      <c r="FE118" s="980"/>
      <c r="FF118" s="980"/>
      <c r="FG118" s="966"/>
      <c r="FH118" s="966"/>
      <c r="FI118" s="978"/>
      <c r="FJ118" s="973"/>
      <c r="FK118" s="978"/>
      <c r="FL118" s="973"/>
      <c r="FM118" s="979"/>
      <c r="FN118" s="979"/>
      <c r="FO118" s="966"/>
      <c r="FP118" s="966"/>
      <c r="FQ118" s="980"/>
      <c r="FR118" s="980"/>
      <c r="FS118" s="980"/>
      <c r="FT118" s="966"/>
      <c r="FU118" s="966"/>
      <c r="FV118" s="978"/>
      <c r="FW118" s="973"/>
      <c r="FX118" s="978"/>
      <c r="FY118" s="973"/>
      <c r="FZ118" s="979"/>
      <c r="GA118" s="979"/>
      <c r="GB118" s="966"/>
      <c r="GC118" s="966"/>
      <c r="GD118" s="980"/>
      <c r="GE118" s="980"/>
      <c r="GF118" s="980"/>
      <c r="GG118" s="966"/>
      <c r="GH118" s="966"/>
      <c r="GI118" s="978"/>
      <c r="GJ118" s="973"/>
      <c r="GK118" s="978"/>
      <c r="GL118" s="973"/>
      <c r="GM118" s="979"/>
      <c r="GN118" s="979"/>
      <c r="GO118" s="966"/>
      <c r="GP118" s="966"/>
      <c r="GQ118" s="980"/>
      <c r="GR118" s="980"/>
      <c r="GS118" s="980"/>
      <c r="GT118" s="966"/>
      <c r="GU118" s="966"/>
      <c r="GV118" s="978"/>
      <c r="GW118" s="973"/>
      <c r="GX118" s="978"/>
      <c r="GY118" s="973"/>
      <c r="GZ118" s="979"/>
      <c r="HA118" s="979"/>
      <c r="HB118" s="966"/>
      <c r="HC118" s="966"/>
      <c r="HD118" s="980"/>
      <c r="HE118" s="980"/>
      <c r="HF118" s="980"/>
      <c r="HG118" s="966"/>
      <c r="HH118" s="966"/>
      <c r="HI118" s="978"/>
      <c r="HJ118" s="973"/>
      <c r="HK118" s="978"/>
      <c r="HL118" s="973"/>
      <c r="HM118" s="979"/>
      <c r="HN118" s="979"/>
      <c r="HO118" s="966"/>
      <c r="HP118" s="966"/>
      <c r="HQ118" s="980"/>
      <c r="HR118" s="980"/>
      <c r="HS118" s="980"/>
      <c r="HT118" s="966"/>
      <c r="HU118" s="966"/>
      <c r="HV118" s="978"/>
      <c r="HW118" s="973"/>
      <c r="HX118" s="978"/>
      <c r="HY118" s="973"/>
      <c r="HZ118" s="979"/>
      <c r="IA118" s="979"/>
      <c r="IB118" s="966"/>
      <c r="IC118" s="966"/>
      <c r="ID118" s="980"/>
      <c r="IE118" s="980"/>
      <c r="IF118" s="980"/>
      <c r="IG118" s="966"/>
      <c r="IH118" s="966"/>
      <c r="II118" s="978"/>
      <c r="IJ118" s="973"/>
      <c r="IK118" s="978"/>
      <c r="IL118" s="973"/>
      <c r="IM118" s="979"/>
      <c r="IN118" s="979"/>
      <c r="IO118" s="966"/>
      <c r="IP118" s="966"/>
      <c r="IQ118" s="980"/>
      <c r="IR118" s="980"/>
      <c r="IS118" s="980"/>
      <c r="IT118" s="966"/>
      <c r="IU118" s="966"/>
      <c r="IV118" s="978"/>
      <c r="IW118" s="973"/>
      <c r="IX118" s="978"/>
      <c r="IY118" s="973"/>
      <c r="IZ118" s="979"/>
      <c r="JA118" s="979"/>
      <c r="JB118" s="966"/>
      <c r="JC118" s="966"/>
      <c r="JD118" s="980"/>
      <c r="JE118" s="980"/>
      <c r="JF118" s="980"/>
      <c r="JG118" s="966"/>
      <c r="JH118" s="966"/>
      <c r="JI118" s="978"/>
      <c r="JJ118" s="973"/>
      <c r="JK118" s="978"/>
      <c r="JL118" s="973"/>
      <c r="JM118" s="979"/>
      <c r="JN118" s="979"/>
      <c r="JO118" s="966"/>
      <c r="JP118" s="966"/>
      <c r="JQ118" s="980"/>
      <c r="JR118" s="980"/>
      <c r="JS118" s="980"/>
      <c r="JT118" s="966"/>
      <c r="JU118" s="966"/>
      <c r="JV118" s="978"/>
      <c r="JW118" s="973"/>
      <c r="JX118" s="978"/>
      <c r="JY118" s="973"/>
      <c r="JZ118" s="979"/>
      <c r="KA118" s="979"/>
      <c r="KB118" s="966"/>
      <c r="KC118" s="966"/>
      <c r="KD118" s="980"/>
      <c r="KE118" s="980"/>
      <c r="KF118" s="980"/>
      <c r="KG118" s="966"/>
      <c r="KH118" s="966"/>
      <c r="KI118" s="978"/>
      <c r="KJ118" s="973"/>
      <c r="KK118" s="978"/>
      <c r="KL118" s="973"/>
      <c r="KM118" s="979"/>
      <c r="KN118" s="979"/>
      <c r="KO118" s="966"/>
      <c r="KP118" s="966"/>
      <c r="KQ118" s="980"/>
      <c r="KR118" s="980"/>
      <c r="KS118" s="980"/>
      <c r="KT118" s="966"/>
      <c r="KU118" s="966"/>
      <c r="KV118" s="978"/>
      <c r="KW118" s="973"/>
      <c r="KX118" s="978"/>
      <c r="KY118" s="973"/>
      <c r="KZ118" s="979"/>
      <c r="LA118" s="979"/>
      <c r="LB118" s="966"/>
      <c r="LC118" s="966"/>
      <c r="LD118" s="980"/>
      <c r="LE118" s="980"/>
      <c r="LF118" s="980"/>
      <c r="LG118" s="966"/>
      <c r="LH118" s="966"/>
      <c r="LI118" s="978"/>
      <c r="LJ118" s="973"/>
      <c r="LK118" s="978"/>
      <c r="LL118" s="973"/>
      <c r="LM118" s="979"/>
      <c r="LN118" s="979"/>
      <c r="LO118" s="966"/>
      <c r="LP118" s="966"/>
      <c r="LQ118" s="980"/>
      <c r="LR118" s="980"/>
      <c r="LS118" s="980"/>
      <c r="LT118" s="966"/>
      <c r="LU118" s="966"/>
      <c r="LV118" s="978"/>
      <c r="LW118" s="973"/>
      <c r="LX118" s="978"/>
      <c r="LY118" s="973"/>
      <c r="LZ118" s="979"/>
      <c r="MA118" s="979"/>
      <c r="MB118" s="966"/>
      <c r="MC118" s="966"/>
      <c r="MD118" s="980"/>
      <c r="ME118" s="980"/>
      <c r="MF118" s="980"/>
      <c r="MG118" s="966"/>
    </row>
    <row r="119" spans="1:345">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7"/>
      <c r="N119" s="268"/>
      <c r="O119" s="253"/>
      <c r="P119" s="253"/>
      <c r="Q119" s="254">
        <f>COUNTIF(I$116:I$119,I119)+COUNTIF(K$116:K$119,I119)</f>
        <v>0</v>
      </c>
      <c r="R119" s="254">
        <f>COUNTIF(I$116:I$119,K119)+COUNTIF(K$116:K$119,K119)</f>
        <v>0</v>
      </c>
      <c r="S119" s="254"/>
      <c r="T119" s="991" t="str">
        <f>IF(OR(I119&lt;&gt;"",K119&lt;&gt;""),IF(Q119&lt;&gt;1,0,COUNTIF($B$116:$B$119,I119)+COUNTIF($D$116:$D$119,I119))+IF(R119&lt;&gt;1,0,COUNTIF($B$116:$B$119,K119)+COUNTIF($D$116:$D$119,K119)),"")</f>
        <v/>
      </c>
      <c r="U119" s="965"/>
      <c r="V119" s="978"/>
      <c r="W119" s="973"/>
      <c r="X119" s="978"/>
      <c r="Y119" s="973"/>
      <c r="Z119" s="979"/>
      <c r="AA119" s="979"/>
      <c r="AB119" s="966"/>
      <c r="AC119" s="966"/>
      <c r="AD119" s="980"/>
      <c r="AE119" s="980"/>
      <c r="AF119" s="980"/>
      <c r="AG119" s="966"/>
      <c r="AH119" s="965"/>
      <c r="AI119" s="978"/>
      <c r="AJ119" s="973"/>
      <c r="AK119" s="978"/>
      <c r="AL119" s="973"/>
      <c r="AM119" s="979"/>
      <c r="AN119" s="979"/>
      <c r="AO119" s="966"/>
      <c r="AP119" s="966"/>
      <c r="AQ119" s="980"/>
      <c r="AR119" s="980"/>
      <c r="AS119" s="980"/>
      <c r="AT119" s="966"/>
      <c r="AU119" s="965"/>
      <c r="AV119" s="978"/>
      <c r="AW119" s="973"/>
      <c r="AX119" s="978"/>
      <c r="AY119" s="973"/>
      <c r="AZ119" s="979"/>
      <c r="BA119" s="979"/>
      <c r="BB119" s="966"/>
      <c r="BC119" s="966"/>
      <c r="BD119" s="980"/>
      <c r="BE119" s="980"/>
      <c r="BF119" s="980"/>
      <c r="BG119" s="966"/>
      <c r="BH119" s="965"/>
      <c r="BI119" s="978"/>
      <c r="BJ119" s="973"/>
      <c r="BK119" s="978"/>
      <c r="BL119" s="973"/>
      <c r="BM119" s="979"/>
      <c r="BN119" s="979"/>
      <c r="BO119" s="966"/>
      <c r="BP119" s="966"/>
      <c r="BQ119" s="980"/>
      <c r="BR119" s="980"/>
      <c r="BS119" s="980"/>
      <c r="BT119" s="966"/>
      <c r="BU119" s="965"/>
      <c r="BV119" s="978"/>
      <c r="BW119" s="973"/>
      <c r="BX119" s="978"/>
      <c r="BY119" s="973"/>
      <c r="BZ119" s="979"/>
      <c r="CA119" s="979"/>
      <c r="CB119" s="966"/>
      <c r="CC119" s="966"/>
      <c r="CD119" s="980"/>
      <c r="CE119" s="980"/>
      <c r="CF119" s="980"/>
      <c r="CG119" s="966"/>
      <c r="CH119" s="965"/>
      <c r="CI119" s="978"/>
      <c r="CJ119" s="973"/>
      <c r="CK119" s="978"/>
      <c r="CL119" s="973"/>
      <c r="CM119" s="979"/>
      <c r="CN119" s="979"/>
      <c r="CO119" s="966"/>
      <c r="CP119" s="966"/>
      <c r="CQ119" s="980"/>
      <c r="CR119" s="980"/>
      <c r="CS119" s="980"/>
      <c r="CT119" s="966"/>
      <c r="CU119" s="965"/>
      <c r="CV119" s="978"/>
      <c r="CW119" s="973"/>
      <c r="CX119" s="978"/>
      <c r="CY119" s="973"/>
      <c r="CZ119" s="979"/>
      <c r="DA119" s="979"/>
      <c r="DB119" s="966"/>
      <c r="DC119" s="966"/>
      <c r="DD119" s="980"/>
      <c r="DE119" s="980"/>
      <c r="DF119" s="980"/>
      <c r="DG119" s="966"/>
      <c r="DH119" s="965"/>
      <c r="DI119" s="978"/>
      <c r="DJ119" s="973"/>
      <c r="DK119" s="978"/>
      <c r="DL119" s="973"/>
      <c r="DM119" s="979"/>
      <c r="DN119" s="979"/>
      <c r="DO119" s="966"/>
      <c r="DP119" s="966"/>
      <c r="DQ119" s="980"/>
      <c r="DR119" s="980"/>
      <c r="DS119" s="980"/>
      <c r="DT119" s="966"/>
      <c r="DU119" s="965"/>
      <c r="DV119" s="978"/>
      <c r="DW119" s="973"/>
      <c r="DX119" s="978"/>
      <c r="DY119" s="973"/>
      <c r="DZ119" s="979"/>
      <c r="EA119" s="979"/>
      <c r="EB119" s="966"/>
      <c r="EC119" s="966"/>
      <c r="ED119" s="980"/>
      <c r="EE119" s="980"/>
      <c r="EF119" s="980"/>
      <c r="EG119" s="966"/>
      <c r="EH119" s="965"/>
      <c r="EI119" s="978"/>
      <c r="EJ119" s="973"/>
      <c r="EK119" s="978"/>
      <c r="EL119" s="973"/>
      <c r="EM119" s="979"/>
      <c r="EN119" s="979"/>
      <c r="EO119" s="966"/>
      <c r="EP119" s="966"/>
      <c r="EQ119" s="980"/>
      <c r="ER119" s="980"/>
      <c r="ES119" s="980"/>
      <c r="ET119" s="966"/>
      <c r="EU119" s="965"/>
      <c r="EV119" s="978"/>
      <c r="EW119" s="973"/>
      <c r="EX119" s="978"/>
      <c r="EY119" s="973"/>
      <c r="EZ119" s="979"/>
      <c r="FA119" s="979"/>
      <c r="FB119" s="966"/>
      <c r="FC119" s="966"/>
      <c r="FD119" s="980"/>
      <c r="FE119" s="980"/>
      <c r="FF119" s="980"/>
      <c r="FG119" s="966"/>
      <c r="FH119" s="965"/>
      <c r="FI119" s="978"/>
      <c r="FJ119" s="973"/>
      <c r="FK119" s="978"/>
      <c r="FL119" s="973"/>
      <c r="FM119" s="979"/>
      <c r="FN119" s="979"/>
      <c r="FO119" s="966"/>
      <c r="FP119" s="966"/>
      <c r="FQ119" s="980"/>
      <c r="FR119" s="980"/>
      <c r="FS119" s="980"/>
      <c r="FT119" s="966"/>
      <c r="FU119" s="965"/>
      <c r="FV119" s="978"/>
      <c r="FW119" s="973"/>
      <c r="FX119" s="978"/>
      <c r="FY119" s="973"/>
      <c r="FZ119" s="979"/>
      <c r="GA119" s="979"/>
      <c r="GB119" s="966"/>
      <c r="GC119" s="966"/>
      <c r="GD119" s="980"/>
      <c r="GE119" s="980"/>
      <c r="GF119" s="980"/>
      <c r="GG119" s="966"/>
      <c r="GH119" s="965"/>
      <c r="GI119" s="978"/>
      <c r="GJ119" s="973"/>
      <c r="GK119" s="978"/>
      <c r="GL119" s="973"/>
      <c r="GM119" s="979"/>
      <c r="GN119" s="979"/>
      <c r="GO119" s="966"/>
      <c r="GP119" s="966"/>
      <c r="GQ119" s="980"/>
      <c r="GR119" s="980"/>
      <c r="GS119" s="980"/>
      <c r="GT119" s="966"/>
      <c r="GU119" s="965"/>
      <c r="GV119" s="978"/>
      <c r="GW119" s="973"/>
      <c r="GX119" s="978"/>
      <c r="GY119" s="973"/>
      <c r="GZ119" s="979"/>
      <c r="HA119" s="979"/>
      <c r="HB119" s="966"/>
      <c r="HC119" s="966"/>
      <c r="HD119" s="980"/>
      <c r="HE119" s="980"/>
      <c r="HF119" s="980"/>
      <c r="HG119" s="966"/>
      <c r="HH119" s="965"/>
      <c r="HI119" s="978"/>
      <c r="HJ119" s="973"/>
      <c r="HK119" s="978"/>
      <c r="HL119" s="973"/>
      <c r="HM119" s="979"/>
      <c r="HN119" s="979"/>
      <c r="HO119" s="966"/>
      <c r="HP119" s="966"/>
      <c r="HQ119" s="980"/>
      <c r="HR119" s="980"/>
      <c r="HS119" s="980"/>
      <c r="HT119" s="966"/>
      <c r="HU119" s="965"/>
      <c r="HV119" s="978"/>
      <c r="HW119" s="973"/>
      <c r="HX119" s="978"/>
      <c r="HY119" s="973"/>
      <c r="HZ119" s="979"/>
      <c r="IA119" s="979"/>
      <c r="IB119" s="966"/>
      <c r="IC119" s="966"/>
      <c r="ID119" s="980"/>
      <c r="IE119" s="980"/>
      <c r="IF119" s="980"/>
      <c r="IG119" s="966"/>
      <c r="IH119" s="965"/>
      <c r="II119" s="978"/>
      <c r="IJ119" s="973"/>
      <c r="IK119" s="978"/>
      <c r="IL119" s="973"/>
      <c r="IM119" s="979"/>
      <c r="IN119" s="979"/>
      <c r="IO119" s="966"/>
      <c r="IP119" s="966"/>
      <c r="IQ119" s="980"/>
      <c r="IR119" s="980"/>
      <c r="IS119" s="980"/>
      <c r="IT119" s="966"/>
      <c r="IU119" s="965"/>
      <c r="IV119" s="978"/>
      <c r="IW119" s="973"/>
      <c r="IX119" s="978"/>
      <c r="IY119" s="973"/>
      <c r="IZ119" s="979"/>
      <c r="JA119" s="979"/>
      <c r="JB119" s="966"/>
      <c r="JC119" s="966"/>
      <c r="JD119" s="980"/>
      <c r="JE119" s="980"/>
      <c r="JF119" s="980"/>
      <c r="JG119" s="966"/>
      <c r="JH119" s="965"/>
      <c r="JI119" s="978"/>
      <c r="JJ119" s="973"/>
      <c r="JK119" s="978"/>
      <c r="JL119" s="973"/>
      <c r="JM119" s="979"/>
      <c r="JN119" s="979"/>
      <c r="JO119" s="966"/>
      <c r="JP119" s="966"/>
      <c r="JQ119" s="980"/>
      <c r="JR119" s="980"/>
      <c r="JS119" s="980"/>
      <c r="JT119" s="966"/>
      <c r="JU119" s="965"/>
      <c r="JV119" s="978"/>
      <c r="JW119" s="973"/>
      <c r="JX119" s="978"/>
      <c r="JY119" s="973"/>
      <c r="JZ119" s="979"/>
      <c r="KA119" s="979"/>
      <c r="KB119" s="966"/>
      <c r="KC119" s="966"/>
      <c r="KD119" s="980"/>
      <c r="KE119" s="980"/>
      <c r="KF119" s="980"/>
      <c r="KG119" s="966"/>
      <c r="KH119" s="965"/>
      <c r="KI119" s="978"/>
      <c r="KJ119" s="973"/>
      <c r="KK119" s="978"/>
      <c r="KL119" s="973"/>
      <c r="KM119" s="979"/>
      <c r="KN119" s="979"/>
      <c r="KO119" s="966"/>
      <c r="KP119" s="966"/>
      <c r="KQ119" s="980"/>
      <c r="KR119" s="980"/>
      <c r="KS119" s="980"/>
      <c r="KT119" s="966"/>
      <c r="KU119" s="965"/>
      <c r="KV119" s="978"/>
      <c r="KW119" s="973"/>
      <c r="KX119" s="978"/>
      <c r="KY119" s="973"/>
      <c r="KZ119" s="979"/>
      <c r="LA119" s="979"/>
      <c r="LB119" s="966"/>
      <c r="LC119" s="966"/>
      <c r="LD119" s="980"/>
      <c r="LE119" s="980"/>
      <c r="LF119" s="980"/>
      <c r="LG119" s="966"/>
      <c r="LH119" s="965"/>
      <c r="LI119" s="978"/>
      <c r="LJ119" s="973"/>
      <c r="LK119" s="978"/>
      <c r="LL119" s="973"/>
      <c r="LM119" s="979"/>
      <c r="LN119" s="979"/>
      <c r="LO119" s="966"/>
      <c r="LP119" s="966"/>
      <c r="LQ119" s="980"/>
      <c r="LR119" s="980"/>
      <c r="LS119" s="980"/>
      <c r="LT119" s="966"/>
      <c r="LU119" s="965"/>
      <c r="LV119" s="978"/>
      <c r="LW119" s="973"/>
      <c r="LX119" s="978"/>
      <c r="LY119" s="973"/>
      <c r="LZ119" s="979"/>
      <c r="MA119" s="979"/>
      <c r="MB119" s="966"/>
      <c r="MC119" s="966"/>
      <c r="MD119" s="980"/>
      <c r="ME119" s="980"/>
      <c r="MF119" s="980"/>
      <c r="MG119" s="966"/>
    </row>
    <row r="120" spans="1:345" ht="24" customHeight="1">
      <c r="B120" s="205" t="str">
        <f>Language!$E$217</f>
        <v>Halve finale</v>
      </c>
      <c r="C120" s="206"/>
      <c r="D120" s="211"/>
      <c r="E120" s="208"/>
      <c r="F120" s="212"/>
      <c r="G120" s="213"/>
      <c r="I120" s="205" t="str">
        <f>$B120</f>
        <v>Halve finale</v>
      </c>
      <c r="J120" s="207"/>
      <c r="K120" s="207"/>
      <c r="L120" s="208"/>
      <c r="M120" s="236"/>
      <c r="N120" s="237"/>
      <c r="O120" s="209"/>
      <c r="P120" s="220"/>
      <c r="Q120" s="208"/>
      <c r="R120" s="208"/>
      <c r="S120" s="208"/>
      <c r="T120" s="987"/>
      <c r="U120" s="965"/>
      <c r="V120" s="972"/>
      <c r="W120" s="972"/>
      <c r="X120" s="972"/>
      <c r="Y120" s="973"/>
      <c r="Z120" s="974"/>
      <c r="AA120" s="975"/>
      <c r="AB120" s="976"/>
      <c r="AC120" s="977"/>
      <c r="AD120" s="973"/>
      <c r="AE120" s="973"/>
      <c r="AF120" s="973"/>
      <c r="AG120" s="973"/>
      <c r="AH120" s="965"/>
      <c r="AI120" s="972"/>
      <c r="AJ120" s="972"/>
      <c r="AK120" s="972"/>
      <c r="AL120" s="973"/>
      <c r="AM120" s="974"/>
      <c r="AN120" s="975"/>
      <c r="AO120" s="976"/>
      <c r="AP120" s="977"/>
      <c r="AQ120" s="973"/>
      <c r="AR120" s="973"/>
      <c r="AS120" s="973"/>
      <c r="AT120" s="973"/>
      <c r="AU120" s="965"/>
      <c r="AV120" s="972"/>
      <c r="AW120" s="972"/>
      <c r="AX120" s="972"/>
      <c r="AY120" s="973"/>
      <c r="AZ120" s="974"/>
      <c r="BA120" s="975"/>
      <c r="BB120" s="976"/>
      <c r="BC120" s="977"/>
      <c r="BD120" s="973"/>
      <c r="BE120" s="973"/>
      <c r="BF120" s="973"/>
      <c r="BG120" s="973"/>
      <c r="BH120" s="965"/>
      <c r="BI120" s="972"/>
      <c r="BJ120" s="972"/>
      <c r="BK120" s="972"/>
      <c r="BL120" s="973"/>
      <c r="BM120" s="974"/>
      <c r="BN120" s="975"/>
      <c r="BO120" s="976"/>
      <c r="BP120" s="977"/>
      <c r="BQ120" s="973"/>
      <c r="BR120" s="973"/>
      <c r="BS120" s="973"/>
      <c r="BT120" s="973"/>
      <c r="BU120" s="965"/>
      <c r="BV120" s="972"/>
      <c r="BW120" s="972"/>
      <c r="BX120" s="972"/>
      <c r="BY120" s="973"/>
      <c r="BZ120" s="974"/>
      <c r="CA120" s="975"/>
      <c r="CB120" s="976"/>
      <c r="CC120" s="977"/>
      <c r="CD120" s="973"/>
      <c r="CE120" s="973"/>
      <c r="CF120" s="973"/>
      <c r="CG120" s="973"/>
      <c r="CH120" s="965"/>
      <c r="CI120" s="972"/>
      <c r="CJ120" s="972"/>
      <c r="CK120" s="972"/>
      <c r="CL120" s="973"/>
      <c r="CM120" s="974"/>
      <c r="CN120" s="975"/>
      <c r="CO120" s="976"/>
      <c r="CP120" s="977"/>
      <c r="CQ120" s="973"/>
      <c r="CR120" s="973"/>
      <c r="CS120" s="973"/>
      <c r="CT120" s="973"/>
      <c r="CU120" s="965"/>
      <c r="CV120" s="972"/>
      <c r="CW120" s="972"/>
      <c r="CX120" s="972"/>
      <c r="CY120" s="973"/>
      <c r="CZ120" s="974"/>
      <c r="DA120" s="975"/>
      <c r="DB120" s="976"/>
      <c r="DC120" s="977"/>
      <c r="DD120" s="973"/>
      <c r="DE120" s="973"/>
      <c r="DF120" s="973"/>
      <c r="DG120" s="973"/>
      <c r="DH120" s="965"/>
      <c r="DI120" s="972"/>
      <c r="DJ120" s="972"/>
      <c r="DK120" s="972"/>
      <c r="DL120" s="973"/>
      <c r="DM120" s="974"/>
      <c r="DN120" s="975"/>
      <c r="DO120" s="976"/>
      <c r="DP120" s="977"/>
      <c r="DQ120" s="973"/>
      <c r="DR120" s="973"/>
      <c r="DS120" s="973"/>
      <c r="DT120" s="973"/>
      <c r="DU120" s="965"/>
      <c r="DV120" s="972"/>
      <c r="DW120" s="972"/>
      <c r="DX120" s="972"/>
      <c r="DY120" s="973"/>
      <c r="DZ120" s="974"/>
      <c r="EA120" s="975"/>
      <c r="EB120" s="976"/>
      <c r="EC120" s="977"/>
      <c r="ED120" s="973"/>
      <c r="EE120" s="973"/>
      <c r="EF120" s="973"/>
      <c r="EG120" s="973"/>
      <c r="EH120" s="965"/>
      <c r="EI120" s="972"/>
      <c r="EJ120" s="972"/>
      <c r="EK120" s="972"/>
      <c r="EL120" s="973"/>
      <c r="EM120" s="974"/>
      <c r="EN120" s="975"/>
      <c r="EO120" s="976"/>
      <c r="EP120" s="977"/>
      <c r="EQ120" s="973"/>
      <c r="ER120" s="973"/>
      <c r="ES120" s="973"/>
      <c r="ET120" s="973"/>
      <c r="EU120" s="965"/>
      <c r="EV120" s="972"/>
      <c r="EW120" s="972"/>
      <c r="EX120" s="972"/>
      <c r="EY120" s="973"/>
      <c r="EZ120" s="974"/>
      <c r="FA120" s="975"/>
      <c r="FB120" s="976"/>
      <c r="FC120" s="977"/>
      <c r="FD120" s="973"/>
      <c r="FE120" s="973"/>
      <c r="FF120" s="973"/>
      <c r="FG120" s="973"/>
      <c r="FH120" s="965"/>
      <c r="FI120" s="972"/>
      <c r="FJ120" s="972"/>
      <c r="FK120" s="972"/>
      <c r="FL120" s="973"/>
      <c r="FM120" s="974"/>
      <c r="FN120" s="975"/>
      <c r="FO120" s="976"/>
      <c r="FP120" s="977"/>
      <c r="FQ120" s="973"/>
      <c r="FR120" s="973"/>
      <c r="FS120" s="973"/>
      <c r="FT120" s="973"/>
      <c r="FU120" s="965"/>
      <c r="FV120" s="972"/>
      <c r="FW120" s="972"/>
      <c r="FX120" s="972"/>
      <c r="FY120" s="973"/>
      <c r="FZ120" s="974"/>
      <c r="GA120" s="975"/>
      <c r="GB120" s="976"/>
      <c r="GC120" s="977"/>
      <c r="GD120" s="973"/>
      <c r="GE120" s="973"/>
      <c r="GF120" s="973"/>
      <c r="GG120" s="973"/>
      <c r="GH120" s="965"/>
      <c r="GI120" s="972"/>
      <c r="GJ120" s="972"/>
      <c r="GK120" s="972"/>
      <c r="GL120" s="973"/>
      <c r="GM120" s="974"/>
      <c r="GN120" s="975"/>
      <c r="GO120" s="976"/>
      <c r="GP120" s="977"/>
      <c r="GQ120" s="973"/>
      <c r="GR120" s="973"/>
      <c r="GS120" s="973"/>
      <c r="GT120" s="973"/>
      <c r="GU120" s="965"/>
      <c r="GV120" s="972"/>
      <c r="GW120" s="972"/>
      <c r="GX120" s="972"/>
      <c r="GY120" s="973"/>
      <c r="GZ120" s="974"/>
      <c r="HA120" s="975"/>
      <c r="HB120" s="976"/>
      <c r="HC120" s="977"/>
      <c r="HD120" s="973"/>
      <c r="HE120" s="973"/>
      <c r="HF120" s="973"/>
      <c r="HG120" s="973"/>
      <c r="HH120" s="965"/>
      <c r="HI120" s="972"/>
      <c r="HJ120" s="972"/>
      <c r="HK120" s="972"/>
      <c r="HL120" s="973"/>
      <c r="HM120" s="974"/>
      <c r="HN120" s="975"/>
      <c r="HO120" s="976"/>
      <c r="HP120" s="977"/>
      <c r="HQ120" s="973"/>
      <c r="HR120" s="973"/>
      <c r="HS120" s="973"/>
      <c r="HT120" s="973"/>
      <c r="HU120" s="965"/>
      <c r="HV120" s="972"/>
      <c r="HW120" s="972"/>
      <c r="HX120" s="972"/>
      <c r="HY120" s="973"/>
      <c r="HZ120" s="974"/>
      <c r="IA120" s="975"/>
      <c r="IB120" s="976"/>
      <c r="IC120" s="977"/>
      <c r="ID120" s="973"/>
      <c r="IE120" s="973"/>
      <c r="IF120" s="973"/>
      <c r="IG120" s="973"/>
      <c r="IH120" s="965"/>
      <c r="II120" s="972"/>
      <c r="IJ120" s="972"/>
      <c r="IK120" s="972"/>
      <c r="IL120" s="973"/>
      <c r="IM120" s="974"/>
      <c r="IN120" s="975"/>
      <c r="IO120" s="976"/>
      <c r="IP120" s="977"/>
      <c r="IQ120" s="973"/>
      <c r="IR120" s="973"/>
      <c r="IS120" s="973"/>
      <c r="IT120" s="973"/>
      <c r="IU120" s="965"/>
      <c r="IV120" s="972"/>
      <c r="IW120" s="972"/>
      <c r="IX120" s="972"/>
      <c r="IY120" s="973"/>
      <c r="IZ120" s="974"/>
      <c r="JA120" s="975"/>
      <c r="JB120" s="976"/>
      <c r="JC120" s="977"/>
      <c r="JD120" s="973"/>
      <c r="JE120" s="973"/>
      <c r="JF120" s="973"/>
      <c r="JG120" s="973"/>
      <c r="JH120" s="965"/>
      <c r="JI120" s="972"/>
      <c r="JJ120" s="972"/>
      <c r="JK120" s="972"/>
      <c r="JL120" s="973"/>
      <c r="JM120" s="974"/>
      <c r="JN120" s="975"/>
      <c r="JO120" s="976"/>
      <c r="JP120" s="977"/>
      <c r="JQ120" s="973"/>
      <c r="JR120" s="973"/>
      <c r="JS120" s="973"/>
      <c r="JT120" s="973"/>
      <c r="JU120" s="965"/>
      <c r="JV120" s="972"/>
      <c r="JW120" s="972"/>
      <c r="JX120" s="972"/>
      <c r="JY120" s="973"/>
      <c r="JZ120" s="974"/>
      <c r="KA120" s="975"/>
      <c r="KB120" s="976"/>
      <c r="KC120" s="977"/>
      <c r="KD120" s="973"/>
      <c r="KE120" s="973"/>
      <c r="KF120" s="973"/>
      <c r="KG120" s="973"/>
      <c r="KH120" s="965"/>
      <c r="KI120" s="972"/>
      <c r="KJ120" s="972"/>
      <c r="KK120" s="972"/>
      <c r="KL120" s="973"/>
      <c r="KM120" s="974"/>
      <c r="KN120" s="975"/>
      <c r="KO120" s="976"/>
      <c r="KP120" s="977"/>
      <c r="KQ120" s="973"/>
      <c r="KR120" s="973"/>
      <c r="KS120" s="973"/>
      <c r="KT120" s="973"/>
      <c r="KU120" s="965"/>
      <c r="KV120" s="972"/>
      <c r="KW120" s="972"/>
      <c r="KX120" s="972"/>
      <c r="KY120" s="973"/>
      <c r="KZ120" s="974"/>
      <c r="LA120" s="975"/>
      <c r="LB120" s="976"/>
      <c r="LC120" s="977"/>
      <c r="LD120" s="973"/>
      <c r="LE120" s="973"/>
      <c r="LF120" s="973"/>
      <c r="LG120" s="973"/>
      <c r="LH120" s="965"/>
      <c r="LI120" s="972"/>
      <c r="LJ120" s="972"/>
      <c r="LK120" s="972"/>
      <c r="LL120" s="973"/>
      <c r="LM120" s="974"/>
      <c r="LN120" s="975"/>
      <c r="LO120" s="976"/>
      <c r="LP120" s="977"/>
      <c r="LQ120" s="973"/>
      <c r="LR120" s="973"/>
      <c r="LS120" s="973"/>
      <c r="LT120" s="973"/>
      <c r="LU120" s="965"/>
      <c r="LV120" s="972"/>
      <c r="LW120" s="972"/>
      <c r="LX120" s="972"/>
      <c r="LY120" s="973"/>
      <c r="LZ120" s="974"/>
      <c r="MA120" s="975"/>
      <c r="MB120" s="976"/>
      <c r="MC120" s="977"/>
      <c r="MD120" s="973"/>
      <c r="ME120" s="973"/>
      <c r="MF120" s="973"/>
      <c r="MG120" s="973"/>
    </row>
    <row r="121" spans="1:345">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4"/>
      <c r="N121" s="265"/>
      <c r="O121" s="250"/>
      <c r="P121" s="250"/>
      <c r="Q121" s="251">
        <f>COUNTIF(I$121:I$122,I121)+COUNTIF(K$121:K$122,I121)</f>
        <v>0</v>
      </c>
      <c r="R121" s="251">
        <f>COUNTIF(I$121:I$122,K121)+COUNTIF(K$121:K$122,K121)</f>
        <v>0</v>
      </c>
      <c r="S121" s="251"/>
      <c r="T121" s="991" t="str">
        <f>IF(OR(I121&lt;&gt;"",K121&lt;&gt;""),IF(Q121&lt;&gt;1,0,COUNTIF($B$121:$B$122,I121)+COUNTIF($D$121:$D$122,I121))+IF(R121&lt;&gt;1,0,COUNTIF($B$121:$B$122,K121)+COUNTIF($D$121:$D$122,K121)),"")</f>
        <v/>
      </c>
      <c r="U121" s="965"/>
      <c r="V121" s="978"/>
      <c r="W121" s="973"/>
      <c r="X121" s="978"/>
      <c r="Y121" s="973"/>
      <c r="Z121" s="979"/>
      <c r="AA121" s="979"/>
      <c r="AB121" s="966"/>
      <c r="AC121" s="966"/>
      <c r="AD121" s="980"/>
      <c r="AE121" s="980"/>
      <c r="AF121" s="980"/>
      <c r="AG121" s="966"/>
      <c r="AH121" s="965"/>
      <c r="AI121" s="978"/>
      <c r="AJ121" s="973"/>
      <c r="AK121" s="978"/>
      <c r="AL121" s="973"/>
      <c r="AM121" s="979"/>
      <c r="AN121" s="979"/>
      <c r="AO121" s="966"/>
      <c r="AP121" s="966"/>
      <c r="AQ121" s="980"/>
      <c r="AR121" s="980"/>
      <c r="AS121" s="980"/>
      <c r="AT121" s="966"/>
      <c r="AU121" s="965"/>
      <c r="AV121" s="978"/>
      <c r="AW121" s="973"/>
      <c r="AX121" s="978"/>
      <c r="AY121" s="973"/>
      <c r="AZ121" s="979"/>
      <c r="BA121" s="979"/>
      <c r="BB121" s="966"/>
      <c r="BC121" s="966"/>
      <c r="BD121" s="980"/>
      <c r="BE121" s="980"/>
      <c r="BF121" s="980"/>
      <c r="BG121" s="966"/>
      <c r="BH121" s="965"/>
      <c r="BI121" s="978"/>
      <c r="BJ121" s="973"/>
      <c r="BK121" s="978"/>
      <c r="BL121" s="973"/>
      <c r="BM121" s="979"/>
      <c r="BN121" s="979"/>
      <c r="BO121" s="966"/>
      <c r="BP121" s="966"/>
      <c r="BQ121" s="980"/>
      <c r="BR121" s="980"/>
      <c r="BS121" s="980"/>
      <c r="BT121" s="966"/>
      <c r="BU121" s="965"/>
      <c r="BV121" s="978"/>
      <c r="BW121" s="973"/>
      <c r="BX121" s="978"/>
      <c r="BY121" s="973"/>
      <c r="BZ121" s="979"/>
      <c r="CA121" s="979"/>
      <c r="CB121" s="966"/>
      <c r="CC121" s="966"/>
      <c r="CD121" s="980"/>
      <c r="CE121" s="980"/>
      <c r="CF121" s="980"/>
      <c r="CG121" s="966"/>
      <c r="CH121" s="965"/>
      <c r="CI121" s="978"/>
      <c r="CJ121" s="973"/>
      <c r="CK121" s="978"/>
      <c r="CL121" s="973"/>
      <c r="CM121" s="979"/>
      <c r="CN121" s="979"/>
      <c r="CO121" s="966"/>
      <c r="CP121" s="966"/>
      <c r="CQ121" s="980"/>
      <c r="CR121" s="980"/>
      <c r="CS121" s="980"/>
      <c r="CT121" s="966"/>
      <c r="CU121" s="965"/>
      <c r="CV121" s="978"/>
      <c r="CW121" s="973"/>
      <c r="CX121" s="978"/>
      <c r="CY121" s="973"/>
      <c r="CZ121" s="979"/>
      <c r="DA121" s="979"/>
      <c r="DB121" s="966"/>
      <c r="DC121" s="966"/>
      <c r="DD121" s="980"/>
      <c r="DE121" s="980"/>
      <c r="DF121" s="980"/>
      <c r="DG121" s="966"/>
      <c r="DH121" s="965"/>
      <c r="DI121" s="978"/>
      <c r="DJ121" s="973"/>
      <c r="DK121" s="978"/>
      <c r="DL121" s="973"/>
      <c r="DM121" s="979"/>
      <c r="DN121" s="979"/>
      <c r="DO121" s="966"/>
      <c r="DP121" s="966"/>
      <c r="DQ121" s="980"/>
      <c r="DR121" s="980"/>
      <c r="DS121" s="980"/>
      <c r="DT121" s="966"/>
      <c r="DU121" s="965"/>
      <c r="DV121" s="978"/>
      <c r="DW121" s="973"/>
      <c r="DX121" s="978"/>
      <c r="DY121" s="973"/>
      <c r="DZ121" s="979"/>
      <c r="EA121" s="979"/>
      <c r="EB121" s="966"/>
      <c r="EC121" s="966"/>
      <c r="ED121" s="980"/>
      <c r="EE121" s="980"/>
      <c r="EF121" s="980"/>
      <c r="EG121" s="966"/>
      <c r="EH121" s="965"/>
      <c r="EI121" s="978"/>
      <c r="EJ121" s="973"/>
      <c r="EK121" s="978"/>
      <c r="EL121" s="973"/>
      <c r="EM121" s="979"/>
      <c r="EN121" s="979"/>
      <c r="EO121" s="966"/>
      <c r="EP121" s="966"/>
      <c r="EQ121" s="980"/>
      <c r="ER121" s="980"/>
      <c r="ES121" s="980"/>
      <c r="ET121" s="966"/>
      <c r="EU121" s="965"/>
      <c r="EV121" s="978"/>
      <c r="EW121" s="973"/>
      <c r="EX121" s="978"/>
      <c r="EY121" s="973"/>
      <c r="EZ121" s="979"/>
      <c r="FA121" s="979"/>
      <c r="FB121" s="966"/>
      <c r="FC121" s="966"/>
      <c r="FD121" s="980"/>
      <c r="FE121" s="980"/>
      <c r="FF121" s="980"/>
      <c r="FG121" s="966"/>
      <c r="FH121" s="965"/>
      <c r="FI121" s="978"/>
      <c r="FJ121" s="973"/>
      <c r="FK121" s="978"/>
      <c r="FL121" s="973"/>
      <c r="FM121" s="979"/>
      <c r="FN121" s="979"/>
      <c r="FO121" s="966"/>
      <c r="FP121" s="966"/>
      <c r="FQ121" s="980"/>
      <c r="FR121" s="980"/>
      <c r="FS121" s="980"/>
      <c r="FT121" s="966"/>
      <c r="FU121" s="965"/>
      <c r="FV121" s="978"/>
      <c r="FW121" s="973"/>
      <c r="FX121" s="978"/>
      <c r="FY121" s="973"/>
      <c r="FZ121" s="979"/>
      <c r="GA121" s="979"/>
      <c r="GB121" s="966"/>
      <c r="GC121" s="966"/>
      <c r="GD121" s="980"/>
      <c r="GE121" s="980"/>
      <c r="GF121" s="980"/>
      <c r="GG121" s="966"/>
      <c r="GH121" s="965"/>
      <c r="GI121" s="978"/>
      <c r="GJ121" s="973"/>
      <c r="GK121" s="978"/>
      <c r="GL121" s="973"/>
      <c r="GM121" s="979"/>
      <c r="GN121" s="979"/>
      <c r="GO121" s="966"/>
      <c r="GP121" s="966"/>
      <c r="GQ121" s="980"/>
      <c r="GR121" s="980"/>
      <c r="GS121" s="980"/>
      <c r="GT121" s="966"/>
      <c r="GU121" s="965"/>
      <c r="GV121" s="978"/>
      <c r="GW121" s="973"/>
      <c r="GX121" s="978"/>
      <c r="GY121" s="973"/>
      <c r="GZ121" s="979"/>
      <c r="HA121" s="979"/>
      <c r="HB121" s="966"/>
      <c r="HC121" s="966"/>
      <c r="HD121" s="980"/>
      <c r="HE121" s="980"/>
      <c r="HF121" s="980"/>
      <c r="HG121" s="966"/>
      <c r="HH121" s="965"/>
      <c r="HI121" s="978"/>
      <c r="HJ121" s="973"/>
      <c r="HK121" s="978"/>
      <c r="HL121" s="973"/>
      <c r="HM121" s="979"/>
      <c r="HN121" s="979"/>
      <c r="HO121" s="966"/>
      <c r="HP121" s="966"/>
      <c r="HQ121" s="980"/>
      <c r="HR121" s="980"/>
      <c r="HS121" s="980"/>
      <c r="HT121" s="966"/>
      <c r="HU121" s="965"/>
      <c r="HV121" s="978"/>
      <c r="HW121" s="973"/>
      <c r="HX121" s="978"/>
      <c r="HY121" s="973"/>
      <c r="HZ121" s="979"/>
      <c r="IA121" s="979"/>
      <c r="IB121" s="966"/>
      <c r="IC121" s="966"/>
      <c r="ID121" s="980"/>
      <c r="IE121" s="980"/>
      <c r="IF121" s="980"/>
      <c r="IG121" s="966"/>
      <c r="IH121" s="965"/>
      <c r="II121" s="978"/>
      <c r="IJ121" s="973"/>
      <c r="IK121" s="978"/>
      <c r="IL121" s="973"/>
      <c r="IM121" s="979"/>
      <c r="IN121" s="979"/>
      <c r="IO121" s="966"/>
      <c r="IP121" s="966"/>
      <c r="IQ121" s="980"/>
      <c r="IR121" s="980"/>
      <c r="IS121" s="980"/>
      <c r="IT121" s="966"/>
      <c r="IU121" s="965"/>
      <c r="IV121" s="978"/>
      <c r="IW121" s="973"/>
      <c r="IX121" s="978"/>
      <c r="IY121" s="973"/>
      <c r="IZ121" s="979"/>
      <c r="JA121" s="979"/>
      <c r="JB121" s="966"/>
      <c r="JC121" s="966"/>
      <c r="JD121" s="980"/>
      <c r="JE121" s="980"/>
      <c r="JF121" s="980"/>
      <c r="JG121" s="966"/>
      <c r="JH121" s="965"/>
      <c r="JI121" s="978"/>
      <c r="JJ121" s="973"/>
      <c r="JK121" s="978"/>
      <c r="JL121" s="973"/>
      <c r="JM121" s="979"/>
      <c r="JN121" s="979"/>
      <c r="JO121" s="966"/>
      <c r="JP121" s="966"/>
      <c r="JQ121" s="980"/>
      <c r="JR121" s="980"/>
      <c r="JS121" s="980"/>
      <c r="JT121" s="966"/>
      <c r="JU121" s="965"/>
      <c r="JV121" s="978"/>
      <c r="JW121" s="973"/>
      <c r="JX121" s="978"/>
      <c r="JY121" s="973"/>
      <c r="JZ121" s="979"/>
      <c r="KA121" s="979"/>
      <c r="KB121" s="966"/>
      <c r="KC121" s="966"/>
      <c r="KD121" s="980"/>
      <c r="KE121" s="980"/>
      <c r="KF121" s="980"/>
      <c r="KG121" s="966"/>
      <c r="KH121" s="965"/>
      <c r="KI121" s="978"/>
      <c r="KJ121" s="973"/>
      <c r="KK121" s="978"/>
      <c r="KL121" s="973"/>
      <c r="KM121" s="979"/>
      <c r="KN121" s="979"/>
      <c r="KO121" s="966"/>
      <c r="KP121" s="966"/>
      <c r="KQ121" s="980"/>
      <c r="KR121" s="980"/>
      <c r="KS121" s="980"/>
      <c r="KT121" s="966"/>
      <c r="KU121" s="965"/>
      <c r="KV121" s="978"/>
      <c r="KW121" s="973"/>
      <c r="KX121" s="978"/>
      <c r="KY121" s="973"/>
      <c r="KZ121" s="979"/>
      <c r="LA121" s="979"/>
      <c r="LB121" s="966"/>
      <c r="LC121" s="966"/>
      <c r="LD121" s="980"/>
      <c r="LE121" s="980"/>
      <c r="LF121" s="980"/>
      <c r="LG121" s="966"/>
      <c r="LH121" s="965"/>
      <c r="LI121" s="978"/>
      <c r="LJ121" s="973"/>
      <c r="LK121" s="978"/>
      <c r="LL121" s="973"/>
      <c r="LM121" s="979"/>
      <c r="LN121" s="979"/>
      <c r="LO121" s="966"/>
      <c r="LP121" s="966"/>
      <c r="LQ121" s="980"/>
      <c r="LR121" s="980"/>
      <c r="LS121" s="980"/>
      <c r="LT121" s="966"/>
      <c r="LU121" s="965"/>
      <c r="LV121" s="978"/>
      <c r="LW121" s="973"/>
      <c r="LX121" s="978"/>
      <c r="LY121" s="973"/>
      <c r="LZ121" s="979"/>
      <c r="MA121" s="979"/>
      <c r="MB121" s="966"/>
      <c r="MC121" s="966"/>
      <c r="MD121" s="980"/>
      <c r="ME121" s="980"/>
      <c r="MF121" s="980"/>
      <c r="MG121" s="966"/>
    </row>
    <row r="122" spans="1:345">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7"/>
      <c r="N122" s="268"/>
      <c r="O122" s="253"/>
      <c r="P122" s="253"/>
      <c r="Q122" s="254">
        <f>COUNTIF(I$121:I$122,I122)+COUNTIF(K$121:K$122,I122)</f>
        <v>0</v>
      </c>
      <c r="R122" s="254">
        <f>COUNTIF(I$121:I$122,K122)+COUNTIF(K$121:K$122,K122)</f>
        <v>0</v>
      </c>
      <c r="S122" s="254"/>
      <c r="T122" s="991" t="str">
        <f>IF(OR(I122&lt;&gt;"",K122&lt;&gt;""),IF(Q122&lt;&gt;1,0,COUNTIF($B$121:$B$122,I122)+COUNTIF($D$121:$D$122,I122))+IF(R122&lt;&gt;1,0,COUNTIF($B$121:$B$122,K122)+COUNTIF($D$121:$D$122,K122)),"")</f>
        <v/>
      </c>
      <c r="U122" s="965"/>
      <c r="V122" s="978"/>
      <c r="W122" s="973"/>
      <c r="X122" s="978"/>
      <c r="Y122" s="973"/>
      <c r="Z122" s="979"/>
      <c r="AA122" s="979"/>
      <c r="AB122" s="966"/>
      <c r="AC122" s="966"/>
      <c r="AD122" s="980"/>
      <c r="AE122" s="980"/>
      <c r="AF122" s="980"/>
      <c r="AG122" s="966"/>
      <c r="AH122" s="965"/>
      <c r="AI122" s="978"/>
      <c r="AJ122" s="973"/>
      <c r="AK122" s="978"/>
      <c r="AL122" s="973"/>
      <c r="AM122" s="979"/>
      <c r="AN122" s="979"/>
      <c r="AO122" s="966"/>
      <c r="AP122" s="966"/>
      <c r="AQ122" s="980"/>
      <c r="AR122" s="980"/>
      <c r="AS122" s="980"/>
      <c r="AT122" s="966"/>
      <c r="AU122" s="965"/>
      <c r="AV122" s="978"/>
      <c r="AW122" s="973"/>
      <c r="AX122" s="978"/>
      <c r="AY122" s="973"/>
      <c r="AZ122" s="979"/>
      <c r="BA122" s="979"/>
      <c r="BB122" s="966"/>
      <c r="BC122" s="966"/>
      <c r="BD122" s="980"/>
      <c r="BE122" s="980"/>
      <c r="BF122" s="980"/>
      <c r="BG122" s="966"/>
      <c r="BH122" s="965"/>
      <c r="BI122" s="978"/>
      <c r="BJ122" s="973"/>
      <c r="BK122" s="978"/>
      <c r="BL122" s="973"/>
      <c r="BM122" s="979"/>
      <c r="BN122" s="979"/>
      <c r="BO122" s="966"/>
      <c r="BP122" s="966"/>
      <c r="BQ122" s="980"/>
      <c r="BR122" s="980"/>
      <c r="BS122" s="980"/>
      <c r="BT122" s="966"/>
      <c r="BU122" s="965"/>
      <c r="BV122" s="978"/>
      <c r="BW122" s="973"/>
      <c r="BX122" s="978"/>
      <c r="BY122" s="973"/>
      <c r="BZ122" s="979"/>
      <c r="CA122" s="979"/>
      <c r="CB122" s="966"/>
      <c r="CC122" s="966"/>
      <c r="CD122" s="980"/>
      <c r="CE122" s="980"/>
      <c r="CF122" s="980"/>
      <c r="CG122" s="966"/>
      <c r="CH122" s="965"/>
      <c r="CI122" s="978"/>
      <c r="CJ122" s="973"/>
      <c r="CK122" s="978"/>
      <c r="CL122" s="973"/>
      <c r="CM122" s="979"/>
      <c r="CN122" s="979"/>
      <c r="CO122" s="966"/>
      <c r="CP122" s="966"/>
      <c r="CQ122" s="980"/>
      <c r="CR122" s="980"/>
      <c r="CS122" s="980"/>
      <c r="CT122" s="966"/>
      <c r="CU122" s="965"/>
      <c r="CV122" s="978"/>
      <c r="CW122" s="973"/>
      <c r="CX122" s="978"/>
      <c r="CY122" s="973"/>
      <c r="CZ122" s="979"/>
      <c r="DA122" s="979"/>
      <c r="DB122" s="966"/>
      <c r="DC122" s="966"/>
      <c r="DD122" s="980"/>
      <c r="DE122" s="980"/>
      <c r="DF122" s="980"/>
      <c r="DG122" s="966"/>
      <c r="DH122" s="965"/>
      <c r="DI122" s="978"/>
      <c r="DJ122" s="973"/>
      <c r="DK122" s="978"/>
      <c r="DL122" s="973"/>
      <c r="DM122" s="979"/>
      <c r="DN122" s="979"/>
      <c r="DO122" s="966"/>
      <c r="DP122" s="966"/>
      <c r="DQ122" s="980"/>
      <c r="DR122" s="980"/>
      <c r="DS122" s="980"/>
      <c r="DT122" s="966"/>
      <c r="DU122" s="965"/>
      <c r="DV122" s="978"/>
      <c r="DW122" s="973"/>
      <c r="DX122" s="978"/>
      <c r="DY122" s="973"/>
      <c r="DZ122" s="979"/>
      <c r="EA122" s="979"/>
      <c r="EB122" s="966"/>
      <c r="EC122" s="966"/>
      <c r="ED122" s="980"/>
      <c r="EE122" s="980"/>
      <c r="EF122" s="980"/>
      <c r="EG122" s="966"/>
      <c r="EH122" s="965"/>
      <c r="EI122" s="978"/>
      <c r="EJ122" s="973"/>
      <c r="EK122" s="978"/>
      <c r="EL122" s="973"/>
      <c r="EM122" s="979"/>
      <c r="EN122" s="979"/>
      <c r="EO122" s="966"/>
      <c r="EP122" s="966"/>
      <c r="EQ122" s="980"/>
      <c r="ER122" s="980"/>
      <c r="ES122" s="980"/>
      <c r="ET122" s="966"/>
      <c r="EU122" s="965"/>
      <c r="EV122" s="978"/>
      <c r="EW122" s="973"/>
      <c r="EX122" s="978"/>
      <c r="EY122" s="973"/>
      <c r="EZ122" s="979"/>
      <c r="FA122" s="979"/>
      <c r="FB122" s="966"/>
      <c r="FC122" s="966"/>
      <c r="FD122" s="980"/>
      <c r="FE122" s="980"/>
      <c r="FF122" s="980"/>
      <c r="FG122" s="966"/>
      <c r="FH122" s="965"/>
      <c r="FI122" s="978"/>
      <c r="FJ122" s="973"/>
      <c r="FK122" s="978"/>
      <c r="FL122" s="973"/>
      <c r="FM122" s="979"/>
      <c r="FN122" s="979"/>
      <c r="FO122" s="966"/>
      <c r="FP122" s="966"/>
      <c r="FQ122" s="980"/>
      <c r="FR122" s="980"/>
      <c r="FS122" s="980"/>
      <c r="FT122" s="966"/>
      <c r="FU122" s="965"/>
      <c r="FV122" s="978"/>
      <c r="FW122" s="973"/>
      <c r="FX122" s="978"/>
      <c r="FY122" s="973"/>
      <c r="FZ122" s="979"/>
      <c r="GA122" s="979"/>
      <c r="GB122" s="966"/>
      <c r="GC122" s="966"/>
      <c r="GD122" s="980"/>
      <c r="GE122" s="980"/>
      <c r="GF122" s="980"/>
      <c r="GG122" s="966"/>
      <c r="GH122" s="965"/>
      <c r="GI122" s="978"/>
      <c r="GJ122" s="973"/>
      <c r="GK122" s="978"/>
      <c r="GL122" s="973"/>
      <c r="GM122" s="979"/>
      <c r="GN122" s="979"/>
      <c r="GO122" s="966"/>
      <c r="GP122" s="966"/>
      <c r="GQ122" s="980"/>
      <c r="GR122" s="980"/>
      <c r="GS122" s="980"/>
      <c r="GT122" s="966"/>
      <c r="GU122" s="965"/>
      <c r="GV122" s="978"/>
      <c r="GW122" s="973"/>
      <c r="GX122" s="978"/>
      <c r="GY122" s="973"/>
      <c r="GZ122" s="979"/>
      <c r="HA122" s="979"/>
      <c r="HB122" s="966"/>
      <c r="HC122" s="966"/>
      <c r="HD122" s="980"/>
      <c r="HE122" s="980"/>
      <c r="HF122" s="980"/>
      <c r="HG122" s="966"/>
      <c r="HH122" s="965"/>
      <c r="HI122" s="978"/>
      <c r="HJ122" s="973"/>
      <c r="HK122" s="978"/>
      <c r="HL122" s="973"/>
      <c r="HM122" s="979"/>
      <c r="HN122" s="979"/>
      <c r="HO122" s="966"/>
      <c r="HP122" s="966"/>
      <c r="HQ122" s="980"/>
      <c r="HR122" s="980"/>
      <c r="HS122" s="980"/>
      <c r="HT122" s="966"/>
      <c r="HU122" s="965"/>
      <c r="HV122" s="978"/>
      <c r="HW122" s="973"/>
      <c r="HX122" s="978"/>
      <c r="HY122" s="973"/>
      <c r="HZ122" s="979"/>
      <c r="IA122" s="979"/>
      <c r="IB122" s="966"/>
      <c r="IC122" s="966"/>
      <c r="ID122" s="980"/>
      <c r="IE122" s="980"/>
      <c r="IF122" s="980"/>
      <c r="IG122" s="966"/>
      <c r="IH122" s="965"/>
      <c r="II122" s="978"/>
      <c r="IJ122" s="973"/>
      <c r="IK122" s="978"/>
      <c r="IL122" s="973"/>
      <c r="IM122" s="979"/>
      <c r="IN122" s="979"/>
      <c r="IO122" s="966"/>
      <c r="IP122" s="966"/>
      <c r="IQ122" s="980"/>
      <c r="IR122" s="980"/>
      <c r="IS122" s="980"/>
      <c r="IT122" s="966"/>
      <c r="IU122" s="965"/>
      <c r="IV122" s="978"/>
      <c r="IW122" s="973"/>
      <c r="IX122" s="978"/>
      <c r="IY122" s="973"/>
      <c r="IZ122" s="979"/>
      <c r="JA122" s="979"/>
      <c r="JB122" s="966"/>
      <c r="JC122" s="966"/>
      <c r="JD122" s="980"/>
      <c r="JE122" s="980"/>
      <c r="JF122" s="980"/>
      <c r="JG122" s="966"/>
      <c r="JH122" s="965"/>
      <c r="JI122" s="978"/>
      <c r="JJ122" s="973"/>
      <c r="JK122" s="978"/>
      <c r="JL122" s="973"/>
      <c r="JM122" s="979"/>
      <c r="JN122" s="979"/>
      <c r="JO122" s="966"/>
      <c r="JP122" s="966"/>
      <c r="JQ122" s="980"/>
      <c r="JR122" s="980"/>
      <c r="JS122" s="980"/>
      <c r="JT122" s="966"/>
      <c r="JU122" s="965"/>
      <c r="JV122" s="978"/>
      <c r="JW122" s="973"/>
      <c r="JX122" s="978"/>
      <c r="JY122" s="973"/>
      <c r="JZ122" s="979"/>
      <c r="KA122" s="979"/>
      <c r="KB122" s="966"/>
      <c r="KC122" s="966"/>
      <c r="KD122" s="980"/>
      <c r="KE122" s="980"/>
      <c r="KF122" s="980"/>
      <c r="KG122" s="966"/>
      <c r="KH122" s="965"/>
      <c r="KI122" s="978"/>
      <c r="KJ122" s="973"/>
      <c r="KK122" s="978"/>
      <c r="KL122" s="973"/>
      <c r="KM122" s="979"/>
      <c r="KN122" s="979"/>
      <c r="KO122" s="966"/>
      <c r="KP122" s="966"/>
      <c r="KQ122" s="980"/>
      <c r="KR122" s="980"/>
      <c r="KS122" s="980"/>
      <c r="KT122" s="966"/>
      <c r="KU122" s="965"/>
      <c r="KV122" s="978"/>
      <c r="KW122" s="973"/>
      <c r="KX122" s="978"/>
      <c r="KY122" s="973"/>
      <c r="KZ122" s="979"/>
      <c r="LA122" s="979"/>
      <c r="LB122" s="966"/>
      <c r="LC122" s="966"/>
      <c r="LD122" s="980"/>
      <c r="LE122" s="980"/>
      <c r="LF122" s="980"/>
      <c r="LG122" s="966"/>
      <c r="LH122" s="965"/>
      <c r="LI122" s="978"/>
      <c r="LJ122" s="973"/>
      <c r="LK122" s="978"/>
      <c r="LL122" s="973"/>
      <c r="LM122" s="979"/>
      <c r="LN122" s="979"/>
      <c r="LO122" s="966"/>
      <c r="LP122" s="966"/>
      <c r="LQ122" s="980"/>
      <c r="LR122" s="980"/>
      <c r="LS122" s="980"/>
      <c r="LT122" s="966"/>
      <c r="LU122" s="965"/>
      <c r="LV122" s="978"/>
      <c r="LW122" s="973"/>
      <c r="LX122" s="978"/>
      <c r="LY122" s="973"/>
      <c r="LZ122" s="979"/>
      <c r="MA122" s="979"/>
      <c r="MB122" s="966"/>
      <c r="MC122" s="966"/>
      <c r="MD122" s="980"/>
      <c r="ME122" s="980"/>
      <c r="MF122" s="980"/>
      <c r="MG122" s="966"/>
    </row>
    <row r="123" spans="1:345" ht="24" customHeight="1">
      <c r="B123" s="205" t="str">
        <f>Language!$E$218</f>
        <v>Derde plaats</v>
      </c>
      <c r="C123" s="206"/>
      <c r="D123" s="211"/>
      <c r="E123" s="208"/>
      <c r="F123" s="212"/>
      <c r="G123" s="213"/>
      <c r="I123" s="205" t="str">
        <f>$B125</f>
        <v>Finale</v>
      </c>
      <c r="J123" s="207"/>
      <c r="K123" s="207"/>
      <c r="L123" s="208"/>
      <c r="M123" s="236"/>
      <c r="N123" s="237"/>
      <c r="O123" s="209"/>
      <c r="P123" s="220"/>
      <c r="Q123" s="208"/>
      <c r="R123" s="208"/>
      <c r="S123" s="208"/>
      <c r="T123" s="987"/>
      <c r="U123" s="965"/>
      <c r="V123" s="972"/>
      <c r="W123" s="972"/>
      <c r="X123" s="972"/>
      <c r="Y123" s="973"/>
      <c r="Z123" s="974"/>
      <c r="AA123" s="975"/>
      <c r="AB123" s="976"/>
      <c r="AC123" s="977"/>
      <c r="AD123" s="973"/>
      <c r="AE123" s="973"/>
      <c r="AF123" s="973"/>
      <c r="AG123" s="973"/>
      <c r="AH123" s="965"/>
      <c r="AI123" s="972"/>
      <c r="AJ123" s="972"/>
      <c r="AK123" s="972"/>
      <c r="AL123" s="973"/>
      <c r="AM123" s="974"/>
      <c r="AN123" s="975"/>
      <c r="AO123" s="976"/>
      <c r="AP123" s="977"/>
      <c r="AQ123" s="973"/>
      <c r="AR123" s="973"/>
      <c r="AS123" s="973"/>
      <c r="AT123" s="973"/>
      <c r="AU123" s="965"/>
      <c r="AV123" s="972"/>
      <c r="AW123" s="972"/>
      <c r="AX123" s="972"/>
      <c r="AY123" s="973"/>
      <c r="AZ123" s="974"/>
      <c r="BA123" s="975"/>
      <c r="BB123" s="976"/>
      <c r="BC123" s="977"/>
      <c r="BD123" s="973"/>
      <c r="BE123" s="973"/>
      <c r="BF123" s="973"/>
      <c r="BG123" s="973"/>
      <c r="BH123" s="965"/>
      <c r="BI123" s="972"/>
      <c r="BJ123" s="972"/>
      <c r="BK123" s="972"/>
      <c r="BL123" s="973"/>
      <c r="BM123" s="974"/>
      <c r="BN123" s="975"/>
      <c r="BO123" s="976"/>
      <c r="BP123" s="977"/>
      <c r="BQ123" s="973"/>
      <c r="BR123" s="973"/>
      <c r="BS123" s="973"/>
      <c r="BT123" s="973"/>
      <c r="BU123" s="965"/>
      <c r="BV123" s="972"/>
      <c r="BW123" s="972"/>
      <c r="BX123" s="972"/>
      <c r="BY123" s="973"/>
      <c r="BZ123" s="974"/>
      <c r="CA123" s="975"/>
      <c r="CB123" s="976"/>
      <c r="CC123" s="977"/>
      <c r="CD123" s="973"/>
      <c r="CE123" s="973"/>
      <c r="CF123" s="973"/>
      <c r="CG123" s="973"/>
      <c r="CH123" s="965"/>
      <c r="CI123" s="972"/>
      <c r="CJ123" s="972"/>
      <c r="CK123" s="972"/>
      <c r="CL123" s="973"/>
      <c r="CM123" s="974"/>
      <c r="CN123" s="975"/>
      <c r="CO123" s="976"/>
      <c r="CP123" s="977"/>
      <c r="CQ123" s="973"/>
      <c r="CR123" s="973"/>
      <c r="CS123" s="973"/>
      <c r="CT123" s="973"/>
      <c r="CU123" s="965"/>
      <c r="CV123" s="972"/>
      <c r="CW123" s="972"/>
      <c r="CX123" s="972"/>
      <c r="CY123" s="973"/>
      <c r="CZ123" s="974"/>
      <c r="DA123" s="975"/>
      <c r="DB123" s="976"/>
      <c r="DC123" s="977"/>
      <c r="DD123" s="973"/>
      <c r="DE123" s="973"/>
      <c r="DF123" s="973"/>
      <c r="DG123" s="973"/>
      <c r="DH123" s="965"/>
      <c r="DI123" s="972"/>
      <c r="DJ123" s="972"/>
      <c r="DK123" s="972"/>
      <c r="DL123" s="973"/>
      <c r="DM123" s="974"/>
      <c r="DN123" s="975"/>
      <c r="DO123" s="976"/>
      <c r="DP123" s="977"/>
      <c r="DQ123" s="973"/>
      <c r="DR123" s="973"/>
      <c r="DS123" s="973"/>
      <c r="DT123" s="973"/>
      <c r="DU123" s="965"/>
      <c r="DV123" s="972"/>
      <c r="DW123" s="972"/>
      <c r="DX123" s="972"/>
      <c r="DY123" s="973"/>
      <c r="DZ123" s="974"/>
      <c r="EA123" s="975"/>
      <c r="EB123" s="976"/>
      <c r="EC123" s="977"/>
      <c r="ED123" s="973"/>
      <c r="EE123" s="973"/>
      <c r="EF123" s="973"/>
      <c r="EG123" s="973"/>
      <c r="EH123" s="965"/>
      <c r="EI123" s="972"/>
      <c r="EJ123" s="972"/>
      <c r="EK123" s="972"/>
      <c r="EL123" s="973"/>
      <c r="EM123" s="974"/>
      <c r="EN123" s="975"/>
      <c r="EO123" s="976"/>
      <c r="EP123" s="977"/>
      <c r="EQ123" s="973"/>
      <c r="ER123" s="973"/>
      <c r="ES123" s="973"/>
      <c r="ET123" s="973"/>
      <c r="EU123" s="965"/>
      <c r="EV123" s="972"/>
      <c r="EW123" s="972"/>
      <c r="EX123" s="972"/>
      <c r="EY123" s="973"/>
      <c r="EZ123" s="974"/>
      <c r="FA123" s="975"/>
      <c r="FB123" s="976"/>
      <c r="FC123" s="977"/>
      <c r="FD123" s="973"/>
      <c r="FE123" s="973"/>
      <c r="FF123" s="973"/>
      <c r="FG123" s="973"/>
      <c r="FH123" s="965"/>
      <c r="FI123" s="972"/>
      <c r="FJ123" s="972"/>
      <c r="FK123" s="972"/>
      <c r="FL123" s="973"/>
      <c r="FM123" s="974"/>
      <c r="FN123" s="975"/>
      <c r="FO123" s="976"/>
      <c r="FP123" s="977"/>
      <c r="FQ123" s="973"/>
      <c r="FR123" s="973"/>
      <c r="FS123" s="973"/>
      <c r="FT123" s="973"/>
      <c r="FU123" s="965"/>
      <c r="FV123" s="972"/>
      <c r="FW123" s="972"/>
      <c r="FX123" s="972"/>
      <c r="FY123" s="973"/>
      <c r="FZ123" s="974"/>
      <c r="GA123" s="975"/>
      <c r="GB123" s="976"/>
      <c r="GC123" s="977"/>
      <c r="GD123" s="973"/>
      <c r="GE123" s="973"/>
      <c r="GF123" s="973"/>
      <c r="GG123" s="973"/>
      <c r="GH123" s="965"/>
      <c r="GI123" s="972"/>
      <c r="GJ123" s="972"/>
      <c r="GK123" s="972"/>
      <c r="GL123" s="973"/>
      <c r="GM123" s="974"/>
      <c r="GN123" s="975"/>
      <c r="GO123" s="976"/>
      <c r="GP123" s="977"/>
      <c r="GQ123" s="973"/>
      <c r="GR123" s="973"/>
      <c r="GS123" s="973"/>
      <c r="GT123" s="973"/>
      <c r="GU123" s="965"/>
      <c r="GV123" s="972"/>
      <c r="GW123" s="972"/>
      <c r="GX123" s="972"/>
      <c r="GY123" s="973"/>
      <c r="GZ123" s="974"/>
      <c r="HA123" s="975"/>
      <c r="HB123" s="976"/>
      <c r="HC123" s="977"/>
      <c r="HD123" s="973"/>
      <c r="HE123" s="973"/>
      <c r="HF123" s="973"/>
      <c r="HG123" s="973"/>
      <c r="HH123" s="965"/>
      <c r="HI123" s="972"/>
      <c r="HJ123" s="972"/>
      <c r="HK123" s="972"/>
      <c r="HL123" s="973"/>
      <c r="HM123" s="974"/>
      <c r="HN123" s="975"/>
      <c r="HO123" s="976"/>
      <c r="HP123" s="977"/>
      <c r="HQ123" s="973"/>
      <c r="HR123" s="973"/>
      <c r="HS123" s="973"/>
      <c r="HT123" s="973"/>
      <c r="HU123" s="965"/>
      <c r="HV123" s="972"/>
      <c r="HW123" s="972"/>
      <c r="HX123" s="972"/>
      <c r="HY123" s="973"/>
      <c r="HZ123" s="974"/>
      <c r="IA123" s="975"/>
      <c r="IB123" s="976"/>
      <c r="IC123" s="977"/>
      <c r="ID123" s="973"/>
      <c r="IE123" s="973"/>
      <c r="IF123" s="973"/>
      <c r="IG123" s="973"/>
      <c r="IH123" s="965"/>
      <c r="II123" s="972"/>
      <c r="IJ123" s="972"/>
      <c r="IK123" s="972"/>
      <c r="IL123" s="973"/>
      <c r="IM123" s="974"/>
      <c r="IN123" s="975"/>
      <c r="IO123" s="976"/>
      <c r="IP123" s="977"/>
      <c r="IQ123" s="973"/>
      <c r="IR123" s="973"/>
      <c r="IS123" s="973"/>
      <c r="IT123" s="973"/>
      <c r="IU123" s="965"/>
      <c r="IV123" s="972"/>
      <c r="IW123" s="972"/>
      <c r="IX123" s="972"/>
      <c r="IY123" s="973"/>
      <c r="IZ123" s="974"/>
      <c r="JA123" s="975"/>
      <c r="JB123" s="976"/>
      <c r="JC123" s="977"/>
      <c r="JD123" s="973"/>
      <c r="JE123" s="973"/>
      <c r="JF123" s="973"/>
      <c r="JG123" s="973"/>
      <c r="JH123" s="965"/>
      <c r="JI123" s="972"/>
      <c r="JJ123" s="972"/>
      <c r="JK123" s="972"/>
      <c r="JL123" s="973"/>
      <c r="JM123" s="974"/>
      <c r="JN123" s="975"/>
      <c r="JO123" s="976"/>
      <c r="JP123" s="977"/>
      <c r="JQ123" s="973"/>
      <c r="JR123" s="973"/>
      <c r="JS123" s="973"/>
      <c r="JT123" s="973"/>
      <c r="JU123" s="965"/>
      <c r="JV123" s="972"/>
      <c r="JW123" s="972"/>
      <c r="JX123" s="972"/>
      <c r="JY123" s="973"/>
      <c r="JZ123" s="974"/>
      <c r="KA123" s="975"/>
      <c r="KB123" s="976"/>
      <c r="KC123" s="977"/>
      <c r="KD123" s="973"/>
      <c r="KE123" s="973"/>
      <c r="KF123" s="973"/>
      <c r="KG123" s="973"/>
      <c r="KH123" s="965"/>
      <c r="KI123" s="972"/>
      <c r="KJ123" s="972"/>
      <c r="KK123" s="972"/>
      <c r="KL123" s="973"/>
      <c r="KM123" s="974"/>
      <c r="KN123" s="975"/>
      <c r="KO123" s="976"/>
      <c r="KP123" s="977"/>
      <c r="KQ123" s="973"/>
      <c r="KR123" s="973"/>
      <c r="KS123" s="973"/>
      <c r="KT123" s="973"/>
      <c r="KU123" s="965"/>
      <c r="KV123" s="972"/>
      <c r="KW123" s="972"/>
      <c r="KX123" s="972"/>
      <c r="KY123" s="973"/>
      <c r="KZ123" s="974"/>
      <c r="LA123" s="975"/>
      <c r="LB123" s="976"/>
      <c r="LC123" s="977"/>
      <c r="LD123" s="973"/>
      <c r="LE123" s="973"/>
      <c r="LF123" s="973"/>
      <c r="LG123" s="973"/>
      <c r="LH123" s="965"/>
      <c r="LI123" s="972"/>
      <c r="LJ123" s="972"/>
      <c r="LK123" s="972"/>
      <c r="LL123" s="973"/>
      <c r="LM123" s="974"/>
      <c r="LN123" s="975"/>
      <c r="LO123" s="976"/>
      <c r="LP123" s="977"/>
      <c r="LQ123" s="973"/>
      <c r="LR123" s="973"/>
      <c r="LS123" s="973"/>
      <c r="LT123" s="973"/>
      <c r="LU123" s="965"/>
      <c r="LV123" s="972"/>
      <c r="LW123" s="972"/>
      <c r="LX123" s="972"/>
      <c r="LY123" s="973"/>
      <c r="LZ123" s="974"/>
      <c r="MA123" s="975"/>
      <c r="MB123" s="976"/>
      <c r="MC123" s="977"/>
      <c r="MD123" s="973"/>
      <c r="ME123" s="973"/>
      <c r="MF123" s="973"/>
      <c r="MG123" s="973"/>
    </row>
    <row r="124" spans="1:345">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5"/>
      <c r="N124" s="254"/>
      <c r="O124" s="250"/>
      <c r="P124" s="250"/>
      <c r="Q124" s="254">
        <f>COUNTIF(I$124:I$124,I124)+COUNTIF(K$124:K$124,I124)</f>
        <v>0</v>
      </c>
      <c r="R124" s="254">
        <f>COUNTIF(I$124:I$124,K124)+COUNTIF(K$124:K$124,K124)</f>
        <v>0</v>
      </c>
      <c r="S124" s="254"/>
      <c r="T124" s="991" t="str">
        <f>IF(OR(I124&lt;&gt;"",K124&lt;&gt;""),IF(Q124&lt;&gt;1,0,COUNTIF($B$126:$B$126,I124)+COUNTIF($D$126:$D$126,I124))+IF(R124&lt;&gt;1,0,COUNTIF($B$126:$B$126,K124)+COUNTIF($D$126:$D$126,K124)),"")</f>
        <v/>
      </c>
      <c r="U124" s="965"/>
      <c r="V124" s="978"/>
      <c r="W124" s="973"/>
      <c r="X124" s="981"/>
      <c r="Y124" s="973"/>
      <c r="Z124" s="966"/>
      <c r="AA124" s="980"/>
      <c r="AB124" s="966"/>
      <c r="AC124" s="966"/>
      <c r="AD124" s="980"/>
      <c r="AE124" s="980"/>
      <c r="AF124" s="980"/>
      <c r="AG124" s="966"/>
      <c r="AH124" s="965"/>
      <c r="AI124" s="978"/>
      <c r="AJ124" s="973"/>
      <c r="AK124" s="981"/>
      <c r="AL124" s="973"/>
      <c r="AM124" s="966"/>
      <c r="AN124" s="980"/>
      <c r="AO124" s="966"/>
      <c r="AP124" s="966"/>
      <c r="AQ124" s="980"/>
      <c r="AR124" s="980"/>
      <c r="AS124" s="980"/>
      <c r="AT124" s="966"/>
      <c r="AU124" s="965"/>
      <c r="AV124" s="978"/>
      <c r="AW124" s="973"/>
      <c r="AX124" s="981"/>
      <c r="AY124" s="973"/>
      <c r="AZ124" s="966"/>
      <c r="BA124" s="980"/>
      <c r="BB124" s="966"/>
      <c r="BC124" s="966"/>
      <c r="BD124" s="980"/>
      <c r="BE124" s="980"/>
      <c r="BF124" s="980"/>
      <c r="BG124" s="966"/>
      <c r="BH124" s="965"/>
      <c r="BI124" s="978"/>
      <c r="BJ124" s="973"/>
      <c r="BK124" s="981"/>
      <c r="BL124" s="973"/>
      <c r="BM124" s="966"/>
      <c r="BN124" s="980"/>
      <c r="BO124" s="966"/>
      <c r="BP124" s="966"/>
      <c r="BQ124" s="980"/>
      <c r="BR124" s="980"/>
      <c r="BS124" s="980"/>
      <c r="BT124" s="966"/>
      <c r="BU124" s="965"/>
      <c r="BV124" s="978"/>
      <c r="BW124" s="973"/>
      <c r="BX124" s="981"/>
      <c r="BY124" s="973"/>
      <c r="BZ124" s="966"/>
      <c r="CA124" s="980"/>
      <c r="CB124" s="966"/>
      <c r="CC124" s="966"/>
      <c r="CD124" s="980"/>
      <c r="CE124" s="980"/>
      <c r="CF124" s="980"/>
      <c r="CG124" s="966"/>
      <c r="CH124" s="965"/>
      <c r="CI124" s="978"/>
      <c r="CJ124" s="973"/>
      <c r="CK124" s="981"/>
      <c r="CL124" s="973"/>
      <c r="CM124" s="966"/>
      <c r="CN124" s="980"/>
      <c r="CO124" s="966"/>
      <c r="CP124" s="966"/>
      <c r="CQ124" s="980"/>
      <c r="CR124" s="980"/>
      <c r="CS124" s="980"/>
      <c r="CT124" s="966"/>
      <c r="CU124" s="965"/>
      <c r="CV124" s="978"/>
      <c r="CW124" s="973"/>
      <c r="CX124" s="981"/>
      <c r="CY124" s="973"/>
      <c r="CZ124" s="966"/>
      <c r="DA124" s="980"/>
      <c r="DB124" s="966"/>
      <c r="DC124" s="966"/>
      <c r="DD124" s="980"/>
      <c r="DE124" s="980"/>
      <c r="DF124" s="980"/>
      <c r="DG124" s="966"/>
      <c r="DH124" s="965"/>
      <c r="DI124" s="978"/>
      <c r="DJ124" s="973"/>
      <c r="DK124" s="981"/>
      <c r="DL124" s="973"/>
      <c r="DM124" s="966"/>
      <c r="DN124" s="980"/>
      <c r="DO124" s="966"/>
      <c r="DP124" s="966"/>
      <c r="DQ124" s="980"/>
      <c r="DR124" s="980"/>
      <c r="DS124" s="980"/>
      <c r="DT124" s="966"/>
      <c r="DU124" s="965"/>
      <c r="DV124" s="978"/>
      <c r="DW124" s="973"/>
      <c r="DX124" s="981"/>
      <c r="DY124" s="973"/>
      <c r="DZ124" s="966"/>
      <c r="EA124" s="980"/>
      <c r="EB124" s="966"/>
      <c r="EC124" s="966"/>
      <c r="ED124" s="980"/>
      <c r="EE124" s="980"/>
      <c r="EF124" s="980"/>
      <c r="EG124" s="966"/>
      <c r="EH124" s="965"/>
      <c r="EI124" s="978"/>
      <c r="EJ124" s="973"/>
      <c r="EK124" s="981"/>
      <c r="EL124" s="973"/>
      <c r="EM124" s="966"/>
      <c r="EN124" s="980"/>
      <c r="EO124" s="966"/>
      <c r="EP124" s="966"/>
      <c r="EQ124" s="980"/>
      <c r="ER124" s="980"/>
      <c r="ES124" s="980"/>
      <c r="ET124" s="966"/>
      <c r="EU124" s="965"/>
      <c r="EV124" s="978"/>
      <c r="EW124" s="973"/>
      <c r="EX124" s="981"/>
      <c r="EY124" s="973"/>
      <c r="EZ124" s="966"/>
      <c r="FA124" s="980"/>
      <c r="FB124" s="966"/>
      <c r="FC124" s="966"/>
      <c r="FD124" s="980"/>
      <c r="FE124" s="980"/>
      <c r="FF124" s="980"/>
      <c r="FG124" s="966"/>
      <c r="FH124" s="965"/>
      <c r="FI124" s="978"/>
      <c r="FJ124" s="973"/>
      <c r="FK124" s="981"/>
      <c r="FL124" s="973"/>
      <c r="FM124" s="966"/>
      <c r="FN124" s="980"/>
      <c r="FO124" s="966"/>
      <c r="FP124" s="966"/>
      <c r="FQ124" s="980"/>
      <c r="FR124" s="980"/>
      <c r="FS124" s="980"/>
      <c r="FT124" s="966"/>
      <c r="FU124" s="965"/>
      <c r="FV124" s="978"/>
      <c r="FW124" s="973"/>
      <c r="FX124" s="981"/>
      <c r="FY124" s="973"/>
      <c r="FZ124" s="966"/>
      <c r="GA124" s="980"/>
      <c r="GB124" s="966"/>
      <c r="GC124" s="966"/>
      <c r="GD124" s="980"/>
      <c r="GE124" s="980"/>
      <c r="GF124" s="980"/>
      <c r="GG124" s="966"/>
      <c r="GH124" s="965"/>
      <c r="GI124" s="978"/>
      <c r="GJ124" s="973"/>
      <c r="GK124" s="981"/>
      <c r="GL124" s="973"/>
      <c r="GM124" s="966"/>
      <c r="GN124" s="980"/>
      <c r="GO124" s="966"/>
      <c r="GP124" s="966"/>
      <c r="GQ124" s="980"/>
      <c r="GR124" s="980"/>
      <c r="GS124" s="980"/>
      <c r="GT124" s="966"/>
      <c r="GU124" s="965"/>
      <c r="GV124" s="978"/>
      <c r="GW124" s="973"/>
      <c r="GX124" s="981"/>
      <c r="GY124" s="973"/>
      <c r="GZ124" s="966"/>
      <c r="HA124" s="980"/>
      <c r="HB124" s="966"/>
      <c r="HC124" s="966"/>
      <c r="HD124" s="980"/>
      <c r="HE124" s="980"/>
      <c r="HF124" s="980"/>
      <c r="HG124" s="966"/>
      <c r="HH124" s="965"/>
      <c r="HI124" s="978"/>
      <c r="HJ124" s="973"/>
      <c r="HK124" s="981"/>
      <c r="HL124" s="973"/>
      <c r="HM124" s="966"/>
      <c r="HN124" s="980"/>
      <c r="HO124" s="966"/>
      <c r="HP124" s="966"/>
      <c r="HQ124" s="980"/>
      <c r="HR124" s="980"/>
      <c r="HS124" s="980"/>
      <c r="HT124" s="966"/>
      <c r="HU124" s="965"/>
      <c r="HV124" s="978"/>
      <c r="HW124" s="973"/>
      <c r="HX124" s="981"/>
      <c r="HY124" s="973"/>
      <c r="HZ124" s="966"/>
      <c r="IA124" s="980"/>
      <c r="IB124" s="966"/>
      <c r="IC124" s="966"/>
      <c r="ID124" s="980"/>
      <c r="IE124" s="980"/>
      <c r="IF124" s="980"/>
      <c r="IG124" s="966"/>
      <c r="IH124" s="965"/>
      <c r="II124" s="978"/>
      <c r="IJ124" s="973"/>
      <c r="IK124" s="981"/>
      <c r="IL124" s="973"/>
      <c r="IM124" s="966"/>
      <c r="IN124" s="980"/>
      <c r="IO124" s="966"/>
      <c r="IP124" s="966"/>
      <c r="IQ124" s="980"/>
      <c r="IR124" s="980"/>
      <c r="IS124" s="980"/>
      <c r="IT124" s="966"/>
      <c r="IU124" s="965"/>
      <c r="IV124" s="978"/>
      <c r="IW124" s="973"/>
      <c r="IX124" s="981"/>
      <c r="IY124" s="973"/>
      <c r="IZ124" s="966"/>
      <c r="JA124" s="980"/>
      <c r="JB124" s="966"/>
      <c r="JC124" s="966"/>
      <c r="JD124" s="980"/>
      <c r="JE124" s="980"/>
      <c r="JF124" s="980"/>
      <c r="JG124" s="966"/>
      <c r="JH124" s="965"/>
      <c r="JI124" s="978"/>
      <c r="JJ124" s="973"/>
      <c r="JK124" s="981"/>
      <c r="JL124" s="973"/>
      <c r="JM124" s="966"/>
      <c r="JN124" s="980"/>
      <c r="JO124" s="966"/>
      <c r="JP124" s="966"/>
      <c r="JQ124" s="980"/>
      <c r="JR124" s="980"/>
      <c r="JS124" s="980"/>
      <c r="JT124" s="966"/>
      <c r="JU124" s="965"/>
      <c r="JV124" s="978"/>
      <c r="JW124" s="973"/>
      <c r="JX124" s="981"/>
      <c r="JY124" s="973"/>
      <c r="JZ124" s="966"/>
      <c r="KA124" s="980"/>
      <c r="KB124" s="966"/>
      <c r="KC124" s="966"/>
      <c r="KD124" s="980"/>
      <c r="KE124" s="980"/>
      <c r="KF124" s="980"/>
      <c r="KG124" s="966"/>
      <c r="KH124" s="965"/>
      <c r="KI124" s="978"/>
      <c r="KJ124" s="973"/>
      <c r="KK124" s="981"/>
      <c r="KL124" s="973"/>
      <c r="KM124" s="966"/>
      <c r="KN124" s="980"/>
      <c r="KO124" s="966"/>
      <c r="KP124" s="966"/>
      <c r="KQ124" s="980"/>
      <c r="KR124" s="980"/>
      <c r="KS124" s="980"/>
      <c r="KT124" s="966"/>
      <c r="KU124" s="965"/>
      <c r="KV124" s="978"/>
      <c r="KW124" s="973"/>
      <c r="KX124" s="981"/>
      <c r="KY124" s="973"/>
      <c r="KZ124" s="966"/>
      <c r="LA124" s="980"/>
      <c r="LB124" s="966"/>
      <c r="LC124" s="966"/>
      <c r="LD124" s="980"/>
      <c r="LE124" s="980"/>
      <c r="LF124" s="980"/>
      <c r="LG124" s="966"/>
      <c r="LH124" s="965"/>
      <c r="LI124" s="978"/>
      <c r="LJ124" s="973"/>
      <c r="LK124" s="981"/>
      <c r="LL124" s="973"/>
      <c r="LM124" s="966"/>
      <c r="LN124" s="980"/>
      <c r="LO124" s="966"/>
      <c r="LP124" s="966"/>
      <c r="LQ124" s="980"/>
      <c r="LR124" s="980"/>
      <c r="LS124" s="980"/>
      <c r="LT124" s="966"/>
      <c r="LU124" s="965"/>
      <c r="LV124" s="978"/>
      <c r="LW124" s="973"/>
      <c r="LX124" s="981"/>
      <c r="LY124" s="973"/>
      <c r="LZ124" s="966"/>
      <c r="MA124" s="980"/>
      <c r="MB124" s="966"/>
      <c r="MC124" s="966"/>
      <c r="MD124" s="980"/>
      <c r="ME124" s="980"/>
      <c r="MF124" s="980"/>
      <c r="MG124" s="966"/>
    </row>
    <row r="125" spans="1:345" ht="24" customHeight="1">
      <c r="B125" s="205" t="str">
        <f>Language!$E$219</f>
        <v>Finale</v>
      </c>
      <c r="C125" s="206"/>
      <c r="D125" s="211"/>
      <c r="E125" s="208"/>
      <c r="F125" s="212"/>
      <c r="G125" s="213"/>
      <c r="I125" s="205" t="str">
        <f>$B123</f>
        <v>Derde plaats</v>
      </c>
      <c r="J125" s="207"/>
      <c r="K125" s="207"/>
      <c r="L125" s="208"/>
      <c r="M125" s="236"/>
      <c r="N125" s="237"/>
      <c r="O125" s="209"/>
      <c r="P125" s="220"/>
      <c r="Q125" s="208"/>
      <c r="R125" s="208"/>
      <c r="S125" s="208"/>
      <c r="T125" s="987"/>
      <c r="U125" s="965"/>
      <c r="V125" s="972"/>
      <c r="W125" s="972"/>
      <c r="X125" s="972"/>
      <c r="Y125" s="973"/>
      <c r="Z125" s="974"/>
      <c r="AA125" s="975"/>
      <c r="AB125" s="976"/>
      <c r="AC125" s="977"/>
      <c r="AD125" s="973"/>
      <c r="AE125" s="973"/>
      <c r="AF125" s="973"/>
      <c r="AG125" s="973"/>
      <c r="AH125" s="965"/>
      <c r="AI125" s="972"/>
      <c r="AJ125" s="972"/>
      <c r="AK125" s="972"/>
      <c r="AL125" s="973"/>
      <c r="AM125" s="974"/>
      <c r="AN125" s="975"/>
      <c r="AO125" s="976"/>
      <c r="AP125" s="977"/>
      <c r="AQ125" s="973"/>
      <c r="AR125" s="973"/>
      <c r="AS125" s="973"/>
      <c r="AT125" s="973"/>
      <c r="AU125" s="965"/>
      <c r="AV125" s="972"/>
      <c r="AW125" s="972"/>
      <c r="AX125" s="972"/>
      <c r="AY125" s="973"/>
      <c r="AZ125" s="974"/>
      <c r="BA125" s="975"/>
      <c r="BB125" s="976"/>
      <c r="BC125" s="977"/>
      <c r="BD125" s="973"/>
      <c r="BE125" s="973"/>
      <c r="BF125" s="973"/>
      <c r="BG125" s="973"/>
      <c r="BH125" s="965"/>
      <c r="BI125" s="972"/>
      <c r="BJ125" s="972"/>
      <c r="BK125" s="972"/>
      <c r="BL125" s="973"/>
      <c r="BM125" s="974"/>
      <c r="BN125" s="975"/>
      <c r="BO125" s="976"/>
      <c r="BP125" s="977"/>
      <c r="BQ125" s="973"/>
      <c r="BR125" s="973"/>
      <c r="BS125" s="973"/>
      <c r="BT125" s="973"/>
      <c r="BU125" s="965"/>
      <c r="BV125" s="972"/>
      <c r="BW125" s="972"/>
      <c r="BX125" s="972"/>
      <c r="BY125" s="973"/>
      <c r="BZ125" s="974"/>
      <c r="CA125" s="975"/>
      <c r="CB125" s="976"/>
      <c r="CC125" s="977"/>
      <c r="CD125" s="973"/>
      <c r="CE125" s="973"/>
      <c r="CF125" s="973"/>
      <c r="CG125" s="973"/>
      <c r="CH125" s="965"/>
      <c r="CI125" s="972"/>
      <c r="CJ125" s="972"/>
      <c r="CK125" s="972"/>
      <c r="CL125" s="973"/>
      <c r="CM125" s="974"/>
      <c r="CN125" s="975"/>
      <c r="CO125" s="976"/>
      <c r="CP125" s="977"/>
      <c r="CQ125" s="973"/>
      <c r="CR125" s="973"/>
      <c r="CS125" s="973"/>
      <c r="CT125" s="973"/>
      <c r="CU125" s="965"/>
      <c r="CV125" s="972"/>
      <c r="CW125" s="972"/>
      <c r="CX125" s="972"/>
      <c r="CY125" s="973"/>
      <c r="CZ125" s="974"/>
      <c r="DA125" s="975"/>
      <c r="DB125" s="976"/>
      <c r="DC125" s="977"/>
      <c r="DD125" s="973"/>
      <c r="DE125" s="973"/>
      <c r="DF125" s="973"/>
      <c r="DG125" s="973"/>
      <c r="DH125" s="965"/>
      <c r="DI125" s="972"/>
      <c r="DJ125" s="972"/>
      <c r="DK125" s="972"/>
      <c r="DL125" s="973"/>
      <c r="DM125" s="974"/>
      <c r="DN125" s="975"/>
      <c r="DO125" s="976"/>
      <c r="DP125" s="977"/>
      <c r="DQ125" s="973"/>
      <c r="DR125" s="973"/>
      <c r="DS125" s="973"/>
      <c r="DT125" s="973"/>
      <c r="DU125" s="965"/>
      <c r="DV125" s="972"/>
      <c r="DW125" s="972"/>
      <c r="DX125" s="972"/>
      <c r="DY125" s="973"/>
      <c r="DZ125" s="974"/>
      <c r="EA125" s="975"/>
      <c r="EB125" s="976"/>
      <c r="EC125" s="977"/>
      <c r="ED125" s="973"/>
      <c r="EE125" s="973"/>
      <c r="EF125" s="973"/>
      <c r="EG125" s="973"/>
      <c r="EH125" s="965"/>
      <c r="EI125" s="972"/>
      <c r="EJ125" s="972"/>
      <c r="EK125" s="972"/>
      <c r="EL125" s="973"/>
      <c r="EM125" s="974"/>
      <c r="EN125" s="975"/>
      <c r="EO125" s="976"/>
      <c r="EP125" s="977"/>
      <c r="EQ125" s="973"/>
      <c r="ER125" s="973"/>
      <c r="ES125" s="973"/>
      <c r="ET125" s="973"/>
      <c r="EU125" s="965"/>
      <c r="EV125" s="972"/>
      <c r="EW125" s="972"/>
      <c r="EX125" s="972"/>
      <c r="EY125" s="973"/>
      <c r="EZ125" s="974"/>
      <c r="FA125" s="975"/>
      <c r="FB125" s="976"/>
      <c r="FC125" s="977"/>
      <c r="FD125" s="973"/>
      <c r="FE125" s="973"/>
      <c r="FF125" s="973"/>
      <c r="FG125" s="973"/>
      <c r="FH125" s="965"/>
      <c r="FI125" s="972"/>
      <c r="FJ125" s="972"/>
      <c r="FK125" s="972"/>
      <c r="FL125" s="973"/>
      <c r="FM125" s="974"/>
      <c r="FN125" s="975"/>
      <c r="FO125" s="976"/>
      <c r="FP125" s="977"/>
      <c r="FQ125" s="973"/>
      <c r="FR125" s="973"/>
      <c r="FS125" s="973"/>
      <c r="FT125" s="973"/>
      <c r="FU125" s="965"/>
      <c r="FV125" s="972"/>
      <c r="FW125" s="972"/>
      <c r="FX125" s="972"/>
      <c r="FY125" s="973"/>
      <c r="FZ125" s="974"/>
      <c r="GA125" s="975"/>
      <c r="GB125" s="976"/>
      <c r="GC125" s="977"/>
      <c r="GD125" s="973"/>
      <c r="GE125" s="973"/>
      <c r="GF125" s="973"/>
      <c r="GG125" s="973"/>
      <c r="GH125" s="965"/>
      <c r="GI125" s="972"/>
      <c r="GJ125" s="972"/>
      <c r="GK125" s="972"/>
      <c r="GL125" s="973"/>
      <c r="GM125" s="974"/>
      <c r="GN125" s="975"/>
      <c r="GO125" s="976"/>
      <c r="GP125" s="977"/>
      <c r="GQ125" s="973"/>
      <c r="GR125" s="973"/>
      <c r="GS125" s="973"/>
      <c r="GT125" s="973"/>
      <c r="GU125" s="965"/>
      <c r="GV125" s="972"/>
      <c r="GW125" s="972"/>
      <c r="GX125" s="972"/>
      <c r="GY125" s="973"/>
      <c r="GZ125" s="974"/>
      <c r="HA125" s="975"/>
      <c r="HB125" s="976"/>
      <c r="HC125" s="977"/>
      <c r="HD125" s="973"/>
      <c r="HE125" s="973"/>
      <c r="HF125" s="973"/>
      <c r="HG125" s="973"/>
      <c r="HH125" s="965"/>
      <c r="HI125" s="972"/>
      <c r="HJ125" s="972"/>
      <c r="HK125" s="972"/>
      <c r="HL125" s="973"/>
      <c r="HM125" s="974"/>
      <c r="HN125" s="975"/>
      <c r="HO125" s="976"/>
      <c r="HP125" s="977"/>
      <c r="HQ125" s="973"/>
      <c r="HR125" s="973"/>
      <c r="HS125" s="973"/>
      <c r="HT125" s="973"/>
      <c r="HU125" s="965"/>
      <c r="HV125" s="972"/>
      <c r="HW125" s="972"/>
      <c r="HX125" s="972"/>
      <c r="HY125" s="973"/>
      <c r="HZ125" s="974"/>
      <c r="IA125" s="975"/>
      <c r="IB125" s="976"/>
      <c r="IC125" s="977"/>
      <c r="ID125" s="973"/>
      <c r="IE125" s="973"/>
      <c r="IF125" s="973"/>
      <c r="IG125" s="973"/>
      <c r="IH125" s="965"/>
      <c r="II125" s="972"/>
      <c r="IJ125" s="972"/>
      <c r="IK125" s="972"/>
      <c r="IL125" s="973"/>
      <c r="IM125" s="974"/>
      <c r="IN125" s="975"/>
      <c r="IO125" s="976"/>
      <c r="IP125" s="977"/>
      <c r="IQ125" s="973"/>
      <c r="IR125" s="973"/>
      <c r="IS125" s="973"/>
      <c r="IT125" s="973"/>
      <c r="IU125" s="965"/>
      <c r="IV125" s="972"/>
      <c r="IW125" s="972"/>
      <c r="IX125" s="972"/>
      <c r="IY125" s="973"/>
      <c r="IZ125" s="974"/>
      <c r="JA125" s="975"/>
      <c r="JB125" s="976"/>
      <c r="JC125" s="977"/>
      <c r="JD125" s="973"/>
      <c r="JE125" s="973"/>
      <c r="JF125" s="973"/>
      <c r="JG125" s="973"/>
      <c r="JH125" s="965"/>
      <c r="JI125" s="972"/>
      <c r="JJ125" s="972"/>
      <c r="JK125" s="972"/>
      <c r="JL125" s="973"/>
      <c r="JM125" s="974"/>
      <c r="JN125" s="975"/>
      <c r="JO125" s="976"/>
      <c r="JP125" s="977"/>
      <c r="JQ125" s="973"/>
      <c r="JR125" s="973"/>
      <c r="JS125" s="973"/>
      <c r="JT125" s="973"/>
      <c r="JU125" s="965"/>
      <c r="JV125" s="972"/>
      <c r="JW125" s="972"/>
      <c r="JX125" s="972"/>
      <c r="JY125" s="973"/>
      <c r="JZ125" s="974"/>
      <c r="KA125" s="975"/>
      <c r="KB125" s="976"/>
      <c r="KC125" s="977"/>
      <c r="KD125" s="973"/>
      <c r="KE125" s="973"/>
      <c r="KF125" s="973"/>
      <c r="KG125" s="973"/>
      <c r="KH125" s="965"/>
      <c r="KI125" s="972"/>
      <c r="KJ125" s="972"/>
      <c r="KK125" s="972"/>
      <c r="KL125" s="973"/>
      <c r="KM125" s="974"/>
      <c r="KN125" s="975"/>
      <c r="KO125" s="976"/>
      <c r="KP125" s="977"/>
      <c r="KQ125" s="973"/>
      <c r="KR125" s="973"/>
      <c r="KS125" s="973"/>
      <c r="KT125" s="973"/>
      <c r="KU125" s="965"/>
      <c r="KV125" s="972"/>
      <c r="KW125" s="972"/>
      <c r="KX125" s="972"/>
      <c r="KY125" s="973"/>
      <c r="KZ125" s="974"/>
      <c r="LA125" s="975"/>
      <c r="LB125" s="976"/>
      <c r="LC125" s="977"/>
      <c r="LD125" s="973"/>
      <c r="LE125" s="973"/>
      <c r="LF125" s="973"/>
      <c r="LG125" s="973"/>
      <c r="LH125" s="965"/>
      <c r="LI125" s="972"/>
      <c r="LJ125" s="972"/>
      <c r="LK125" s="972"/>
      <c r="LL125" s="973"/>
      <c r="LM125" s="974"/>
      <c r="LN125" s="975"/>
      <c r="LO125" s="976"/>
      <c r="LP125" s="977"/>
      <c r="LQ125" s="973"/>
      <c r="LR125" s="973"/>
      <c r="LS125" s="973"/>
      <c r="LT125" s="973"/>
      <c r="LU125" s="965"/>
      <c r="LV125" s="972"/>
      <c r="LW125" s="972"/>
      <c r="LX125" s="972"/>
      <c r="LY125" s="973"/>
      <c r="LZ125" s="974"/>
      <c r="MA125" s="975"/>
      <c r="MB125" s="976"/>
      <c r="MC125" s="977"/>
      <c r="MD125" s="973"/>
      <c r="ME125" s="973"/>
      <c r="MF125" s="973"/>
      <c r="MG125" s="973"/>
    </row>
    <row r="126" spans="1:345" ht="16" thickBot="1">
      <c r="B126" s="201" t="str">
        <f>IF(C126="","",INDEX(Groups!$C$7:$C$65,MATCH(C126,Groups!$D$7:$D$65,0)))</f>
        <v/>
      </c>
      <c r="C126" s="202" t="str">
        <f>'World Cup'!$L$98</f>
        <v/>
      </c>
      <c r="D126" s="203" t="str">
        <f>IF(E126="","",INDEX(Groups!$C$7:$C$65,MATCH(E126,Groups!$D$7:$D$65,0)))</f>
        <v/>
      </c>
      <c r="E126" s="204" t="str">
        <f>'World Cup'!$N$98</f>
        <v/>
      </c>
      <c r="F126" s="302" t="str">
        <f>IF(AND('World Cup'!$L$99&lt;&gt;"",'World Cup'!$N$99&lt;&gt;""),'World Cup'!$L$99+IF(AND('World Cup'!$L$101&lt;&gt;"",'World Cup'!$N$101&lt;&gt;"",'World Cup'!$L$99='World Cup'!$N$99),'World Cup'!$L$101,0),"")</f>
        <v/>
      </c>
      <c r="G126" s="303" t="str">
        <f>IF(AND('World Cup'!$L$99&lt;&gt;"",'World Cup'!$N$99&lt;&gt;""),'World Cup'!$N$99+IF(AND('World Cup'!$L$101&lt;&gt;"",'World Cup'!$N$101&lt;&gt;"",'World Cup'!$L$99='World Cup'!$N$99),'World Cup'!$N$101,0),"")</f>
        <v/>
      </c>
      <c r="I126" s="231"/>
      <c r="J126" s="197" t="str">
        <f>IF(I126="","",VLOOKUP(I126,Language!$D$5:$E$100,2,0))</f>
        <v/>
      </c>
      <c r="K126" s="255"/>
      <c r="L126" s="256"/>
      <c r="M126" s="347"/>
      <c r="N126" s="254"/>
      <c r="O126" s="198" t="str">
        <f>IF(($F124&lt;&gt;"")*($G124&lt;&gt;"")*(I126&lt;&gt;""),($F124&gt;$G124)*($B124=I126)+($F124&lt;$G124)*($D124=I126),"")</f>
        <v/>
      </c>
      <c r="P126" s="255"/>
      <c r="Q126" s="256">
        <f>COUNTIF(I$99:I$101,I126)+COUNTIF(K$99:K$101,I126)</f>
        <v>0</v>
      </c>
      <c r="R126" s="256">
        <f>COUNTIF(I$99:I$101,K126)+COUNTIF(K$99:K$101,K126)</f>
        <v>0</v>
      </c>
      <c r="S126" s="254"/>
      <c r="T126" s="995"/>
      <c r="U126" s="965"/>
      <c r="V126" s="978"/>
      <c r="W126" s="973"/>
      <c r="X126" s="966"/>
      <c r="Y126" s="980"/>
      <c r="Z126" s="966"/>
      <c r="AA126" s="980"/>
      <c r="AB126" s="966"/>
      <c r="AC126" s="966"/>
      <c r="AD126" s="980"/>
      <c r="AE126" s="980"/>
      <c r="AF126" s="980"/>
      <c r="AG126" s="980"/>
      <c r="AH126" s="965"/>
      <c r="AI126" s="978"/>
      <c r="AJ126" s="973"/>
      <c r="AK126" s="966"/>
      <c r="AL126" s="980"/>
      <c r="AM126" s="966"/>
      <c r="AN126" s="980"/>
      <c r="AO126" s="966"/>
      <c r="AP126" s="966"/>
      <c r="AQ126" s="980"/>
      <c r="AR126" s="980"/>
      <c r="AS126" s="980"/>
      <c r="AT126" s="980"/>
      <c r="AU126" s="965"/>
      <c r="AV126" s="978"/>
      <c r="AW126" s="973"/>
      <c r="AX126" s="966"/>
      <c r="AY126" s="980"/>
      <c r="AZ126" s="966"/>
      <c r="BA126" s="980"/>
      <c r="BB126" s="966"/>
      <c r="BC126" s="966"/>
      <c r="BD126" s="980"/>
      <c r="BE126" s="980"/>
      <c r="BF126" s="980"/>
      <c r="BG126" s="980"/>
      <c r="BH126" s="965"/>
      <c r="BI126" s="978"/>
      <c r="BJ126" s="973"/>
      <c r="BK126" s="966"/>
      <c r="BL126" s="980"/>
      <c r="BM126" s="966"/>
      <c r="BN126" s="980"/>
      <c r="BO126" s="966"/>
      <c r="BP126" s="966"/>
      <c r="BQ126" s="980"/>
      <c r="BR126" s="980"/>
      <c r="BS126" s="980"/>
      <c r="BT126" s="980"/>
      <c r="BU126" s="965"/>
      <c r="BV126" s="978"/>
      <c r="BW126" s="973"/>
      <c r="BX126" s="966"/>
      <c r="BY126" s="980"/>
      <c r="BZ126" s="966"/>
      <c r="CA126" s="980"/>
      <c r="CB126" s="966"/>
      <c r="CC126" s="966"/>
      <c r="CD126" s="980"/>
      <c r="CE126" s="980"/>
      <c r="CF126" s="980"/>
      <c r="CG126" s="980"/>
      <c r="CH126" s="965"/>
      <c r="CI126" s="978"/>
      <c r="CJ126" s="973"/>
      <c r="CK126" s="966"/>
      <c r="CL126" s="980"/>
      <c r="CM126" s="966"/>
      <c r="CN126" s="980"/>
      <c r="CO126" s="966"/>
      <c r="CP126" s="966"/>
      <c r="CQ126" s="980"/>
      <c r="CR126" s="980"/>
      <c r="CS126" s="980"/>
      <c r="CT126" s="980"/>
      <c r="CU126" s="965"/>
      <c r="CV126" s="978"/>
      <c r="CW126" s="973"/>
      <c r="CX126" s="966"/>
      <c r="CY126" s="980"/>
      <c r="CZ126" s="966"/>
      <c r="DA126" s="980"/>
      <c r="DB126" s="966"/>
      <c r="DC126" s="966"/>
      <c r="DD126" s="980"/>
      <c r="DE126" s="980"/>
      <c r="DF126" s="980"/>
      <c r="DG126" s="980"/>
      <c r="DH126" s="965"/>
      <c r="DI126" s="978"/>
      <c r="DJ126" s="973"/>
      <c r="DK126" s="966"/>
      <c r="DL126" s="980"/>
      <c r="DM126" s="966"/>
      <c r="DN126" s="980"/>
      <c r="DO126" s="966"/>
      <c r="DP126" s="966"/>
      <c r="DQ126" s="980"/>
      <c r="DR126" s="980"/>
      <c r="DS126" s="980"/>
      <c r="DT126" s="980"/>
      <c r="DU126" s="965"/>
      <c r="DV126" s="978"/>
      <c r="DW126" s="973"/>
      <c r="DX126" s="966"/>
      <c r="DY126" s="980"/>
      <c r="DZ126" s="966"/>
      <c r="EA126" s="980"/>
      <c r="EB126" s="966"/>
      <c r="EC126" s="966"/>
      <c r="ED126" s="980"/>
      <c r="EE126" s="980"/>
      <c r="EF126" s="980"/>
      <c r="EG126" s="980"/>
      <c r="EH126" s="965"/>
      <c r="EI126" s="978"/>
      <c r="EJ126" s="973"/>
      <c r="EK126" s="966"/>
      <c r="EL126" s="980"/>
      <c r="EM126" s="966"/>
      <c r="EN126" s="980"/>
      <c r="EO126" s="966"/>
      <c r="EP126" s="966"/>
      <c r="EQ126" s="980"/>
      <c r="ER126" s="980"/>
      <c r="ES126" s="980"/>
      <c r="ET126" s="980"/>
      <c r="EU126" s="965"/>
      <c r="EV126" s="978"/>
      <c r="EW126" s="973"/>
      <c r="EX126" s="966"/>
      <c r="EY126" s="980"/>
      <c r="EZ126" s="966"/>
      <c r="FA126" s="980"/>
      <c r="FB126" s="966"/>
      <c r="FC126" s="966"/>
      <c r="FD126" s="980"/>
      <c r="FE126" s="980"/>
      <c r="FF126" s="980"/>
      <c r="FG126" s="980"/>
      <c r="FH126" s="965"/>
      <c r="FI126" s="978"/>
      <c r="FJ126" s="973"/>
      <c r="FK126" s="966"/>
      <c r="FL126" s="980"/>
      <c r="FM126" s="966"/>
      <c r="FN126" s="980"/>
      <c r="FO126" s="966"/>
      <c r="FP126" s="966"/>
      <c r="FQ126" s="980"/>
      <c r="FR126" s="980"/>
      <c r="FS126" s="980"/>
      <c r="FT126" s="980"/>
      <c r="FU126" s="965"/>
      <c r="FV126" s="978"/>
      <c r="FW126" s="973"/>
      <c r="FX126" s="966"/>
      <c r="FY126" s="980"/>
      <c r="FZ126" s="966"/>
      <c r="GA126" s="980"/>
      <c r="GB126" s="966"/>
      <c r="GC126" s="966"/>
      <c r="GD126" s="980"/>
      <c r="GE126" s="980"/>
      <c r="GF126" s="980"/>
      <c r="GG126" s="980"/>
      <c r="GH126" s="965"/>
      <c r="GI126" s="978"/>
      <c r="GJ126" s="973"/>
      <c r="GK126" s="966"/>
      <c r="GL126" s="980"/>
      <c r="GM126" s="966"/>
      <c r="GN126" s="980"/>
      <c r="GO126" s="966"/>
      <c r="GP126" s="966"/>
      <c r="GQ126" s="980"/>
      <c r="GR126" s="980"/>
      <c r="GS126" s="980"/>
      <c r="GT126" s="980"/>
      <c r="GU126" s="965"/>
      <c r="GV126" s="978"/>
      <c r="GW126" s="973"/>
      <c r="GX126" s="966"/>
      <c r="GY126" s="980"/>
      <c r="GZ126" s="966"/>
      <c r="HA126" s="980"/>
      <c r="HB126" s="966"/>
      <c r="HC126" s="966"/>
      <c r="HD126" s="980"/>
      <c r="HE126" s="980"/>
      <c r="HF126" s="980"/>
      <c r="HG126" s="980"/>
      <c r="HH126" s="965"/>
      <c r="HI126" s="978"/>
      <c r="HJ126" s="973"/>
      <c r="HK126" s="966"/>
      <c r="HL126" s="980"/>
      <c r="HM126" s="966"/>
      <c r="HN126" s="980"/>
      <c r="HO126" s="966"/>
      <c r="HP126" s="966"/>
      <c r="HQ126" s="980"/>
      <c r="HR126" s="980"/>
      <c r="HS126" s="980"/>
      <c r="HT126" s="980"/>
      <c r="HU126" s="965"/>
      <c r="HV126" s="978"/>
      <c r="HW126" s="973"/>
      <c r="HX126" s="966"/>
      <c r="HY126" s="980"/>
      <c r="HZ126" s="966"/>
      <c r="IA126" s="980"/>
      <c r="IB126" s="966"/>
      <c r="IC126" s="966"/>
      <c r="ID126" s="980"/>
      <c r="IE126" s="980"/>
      <c r="IF126" s="980"/>
      <c r="IG126" s="980"/>
      <c r="IH126" s="965"/>
      <c r="II126" s="978"/>
      <c r="IJ126" s="973"/>
      <c r="IK126" s="966"/>
      <c r="IL126" s="980"/>
      <c r="IM126" s="966"/>
      <c r="IN126" s="980"/>
      <c r="IO126" s="966"/>
      <c r="IP126" s="966"/>
      <c r="IQ126" s="980"/>
      <c r="IR126" s="980"/>
      <c r="IS126" s="980"/>
      <c r="IT126" s="980"/>
      <c r="IU126" s="965"/>
      <c r="IV126" s="978"/>
      <c r="IW126" s="973"/>
      <c r="IX126" s="966"/>
      <c r="IY126" s="980"/>
      <c r="IZ126" s="966"/>
      <c r="JA126" s="980"/>
      <c r="JB126" s="966"/>
      <c r="JC126" s="966"/>
      <c r="JD126" s="980"/>
      <c r="JE126" s="980"/>
      <c r="JF126" s="980"/>
      <c r="JG126" s="980"/>
      <c r="JH126" s="965"/>
      <c r="JI126" s="978"/>
      <c r="JJ126" s="973"/>
      <c r="JK126" s="966"/>
      <c r="JL126" s="980"/>
      <c r="JM126" s="966"/>
      <c r="JN126" s="980"/>
      <c r="JO126" s="966"/>
      <c r="JP126" s="966"/>
      <c r="JQ126" s="980"/>
      <c r="JR126" s="980"/>
      <c r="JS126" s="980"/>
      <c r="JT126" s="980"/>
      <c r="JU126" s="965"/>
      <c r="JV126" s="978"/>
      <c r="JW126" s="973"/>
      <c r="JX126" s="966"/>
      <c r="JY126" s="980"/>
      <c r="JZ126" s="966"/>
      <c r="KA126" s="980"/>
      <c r="KB126" s="966"/>
      <c r="KC126" s="966"/>
      <c r="KD126" s="980"/>
      <c r="KE126" s="980"/>
      <c r="KF126" s="980"/>
      <c r="KG126" s="980"/>
      <c r="KH126" s="965"/>
      <c r="KI126" s="978"/>
      <c r="KJ126" s="973"/>
      <c r="KK126" s="966"/>
      <c r="KL126" s="980"/>
      <c r="KM126" s="966"/>
      <c r="KN126" s="980"/>
      <c r="KO126" s="966"/>
      <c r="KP126" s="966"/>
      <c r="KQ126" s="980"/>
      <c r="KR126" s="980"/>
      <c r="KS126" s="980"/>
      <c r="KT126" s="980"/>
      <c r="KU126" s="965"/>
      <c r="KV126" s="978"/>
      <c r="KW126" s="973"/>
      <c r="KX126" s="966"/>
      <c r="KY126" s="980"/>
      <c r="KZ126" s="966"/>
      <c r="LA126" s="980"/>
      <c r="LB126" s="966"/>
      <c r="LC126" s="966"/>
      <c r="LD126" s="980"/>
      <c r="LE126" s="980"/>
      <c r="LF126" s="980"/>
      <c r="LG126" s="980"/>
      <c r="LH126" s="965"/>
      <c r="LI126" s="978"/>
      <c r="LJ126" s="973"/>
      <c r="LK126" s="966"/>
      <c r="LL126" s="980"/>
      <c r="LM126" s="966"/>
      <c r="LN126" s="980"/>
      <c r="LO126" s="966"/>
      <c r="LP126" s="966"/>
      <c r="LQ126" s="980"/>
      <c r="LR126" s="980"/>
      <c r="LS126" s="980"/>
      <c r="LT126" s="980"/>
      <c r="LU126" s="965"/>
      <c r="LV126" s="978"/>
      <c r="LW126" s="973"/>
      <c r="LX126" s="966"/>
      <c r="LY126" s="980"/>
      <c r="LZ126" s="966"/>
      <c r="MA126" s="980"/>
      <c r="MB126" s="966"/>
      <c r="MC126" s="966"/>
      <c r="MD126" s="980"/>
      <c r="ME126" s="980"/>
      <c r="MF126" s="980"/>
      <c r="MG126" s="980"/>
    </row>
    <row r="127" spans="1:345" ht="19" thickTop="1">
      <c r="B127" s="353" t="str">
        <f>Language!$E$220</f>
        <v>Wereldkampioen</v>
      </c>
      <c r="C127" s="40"/>
      <c r="D127" s="22"/>
      <c r="E127" s="37"/>
      <c r="F127" s="345"/>
      <c r="G127" s="345"/>
      <c r="I127" s="205" t="str">
        <f>$B127</f>
        <v>Wereldkampioen</v>
      </c>
      <c r="J127" s="207"/>
      <c r="K127" s="207"/>
      <c r="L127" s="208"/>
      <c r="M127" s="236"/>
      <c r="N127" s="237"/>
      <c r="O127" s="209"/>
      <c r="P127" s="220"/>
      <c r="Q127" s="208"/>
      <c r="R127" s="208"/>
      <c r="S127" s="208"/>
      <c r="T127" s="987"/>
      <c r="U127" s="965"/>
      <c r="V127" s="972"/>
      <c r="W127" s="972"/>
      <c r="X127" s="972"/>
      <c r="Y127" s="973"/>
      <c r="Z127" s="974"/>
      <c r="AA127" s="975"/>
      <c r="AB127" s="976"/>
      <c r="AC127" s="977"/>
      <c r="AD127" s="973"/>
      <c r="AE127" s="973"/>
      <c r="AF127" s="973"/>
      <c r="AG127" s="973"/>
      <c r="AH127" s="965"/>
      <c r="AI127" s="972"/>
      <c r="AJ127" s="972"/>
      <c r="AK127" s="972"/>
      <c r="AL127" s="973"/>
      <c r="AM127" s="974"/>
      <c r="AN127" s="975"/>
      <c r="AO127" s="976"/>
      <c r="AP127" s="977"/>
      <c r="AQ127" s="973"/>
      <c r="AR127" s="973"/>
      <c r="AS127" s="973"/>
      <c r="AT127" s="973"/>
      <c r="AU127" s="965"/>
      <c r="AV127" s="972"/>
      <c r="AW127" s="972"/>
      <c r="AX127" s="972"/>
      <c r="AY127" s="973"/>
      <c r="AZ127" s="974"/>
      <c r="BA127" s="975"/>
      <c r="BB127" s="976"/>
      <c r="BC127" s="977"/>
      <c r="BD127" s="973"/>
      <c r="BE127" s="973"/>
      <c r="BF127" s="973"/>
      <c r="BG127" s="973"/>
      <c r="BH127" s="965"/>
      <c r="BI127" s="972"/>
      <c r="BJ127" s="972"/>
      <c r="BK127" s="972"/>
      <c r="BL127" s="973"/>
      <c r="BM127" s="974"/>
      <c r="BN127" s="975"/>
      <c r="BO127" s="976"/>
      <c r="BP127" s="977"/>
      <c r="BQ127" s="973"/>
      <c r="BR127" s="973"/>
      <c r="BS127" s="973"/>
      <c r="BT127" s="973"/>
      <c r="BU127" s="965"/>
      <c r="BV127" s="972"/>
      <c r="BW127" s="972"/>
      <c r="BX127" s="972"/>
      <c r="BY127" s="973"/>
      <c r="BZ127" s="974"/>
      <c r="CA127" s="975"/>
      <c r="CB127" s="976"/>
      <c r="CC127" s="977"/>
      <c r="CD127" s="973"/>
      <c r="CE127" s="973"/>
      <c r="CF127" s="973"/>
      <c r="CG127" s="973"/>
      <c r="CH127" s="965"/>
      <c r="CI127" s="972"/>
      <c r="CJ127" s="972"/>
      <c r="CK127" s="972"/>
      <c r="CL127" s="973"/>
      <c r="CM127" s="974"/>
      <c r="CN127" s="975"/>
      <c r="CO127" s="976"/>
      <c r="CP127" s="977"/>
      <c r="CQ127" s="973"/>
      <c r="CR127" s="973"/>
      <c r="CS127" s="973"/>
      <c r="CT127" s="973"/>
      <c r="CU127" s="965"/>
      <c r="CV127" s="972"/>
      <c r="CW127" s="972"/>
      <c r="CX127" s="972"/>
      <c r="CY127" s="973"/>
      <c r="CZ127" s="974"/>
      <c r="DA127" s="975"/>
      <c r="DB127" s="976"/>
      <c r="DC127" s="977"/>
      <c r="DD127" s="973"/>
      <c r="DE127" s="973"/>
      <c r="DF127" s="973"/>
      <c r="DG127" s="973"/>
      <c r="DH127" s="965"/>
      <c r="DI127" s="972"/>
      <c r="DJ127" s="972"/>
      <c r="DK127" s="972"/>
      <c r="DL127" s="973"/>
      <c r="DM127" s="974"/>
      <c r="DN127" s="975"/>
      <c r="DO127" s="976"/>
      <c r="DP127" s="977"/>
      <c r="DQ127" s="973"/>
      <c r="DR127" s="973"/>
      <c r="DS127" s="973"/>
      <c r="DT127" s="973"/>
      <c r="DU127" s="965"/>
      <c r="DV127" s="972"/>
      <c r="DW127" s="972"/>
      <c r="DX127" s="972"/>
      <c r="DY127" s="973"/>
      <c r="DZ127" s="974"/>
      <c r="EA127" s="975"/>
      <c r="EB127" s="976"/>
      <c r="EC127" s="977"/>
      <c r="ED127" s="973"/>
      <c r="EE127" s="973"/>
      <c r="EF127" s="973"/>
      <c r="EG127" s="973"/>
      <c r="EH127" s="965"/>
      <c r="EI127" s="972"/>
      <c r="EJ127" s="972"/>
      <c r="EK127" s="972"/>
      <c r="EL127" s="973"/>
      <c r="EM127" s="974"/>
      <c r="EN127" s="975"/>
      <c r="EO127" s="976"/>
      <c r="EP127" s="977"/>
      <c r="EQ127" s="973"/>
      <c r="ER127" s="973"/>
      <c r="ES127" s="973"/>
      <c r="ET127" s="973"/>
      <c r="EU127" s="965"/>
      <c r="EV127" s="972"/>
      <c r="EW127" s="972"/>
      <c r="EX127" s="972"/>
      <c r="EY127" s="973"/>
      <c r="EZ127" s="974"/>
      <c r="FA127" s="975"/>
      <c r="FB127" s="976"/>
      <c r="FC127" s="977"/>
      <c r="FD127" s="973"/>
      <c r="FE127" s="973"/>
      <c r="FF127" s="973"/>
      <c r="FG127" s="973"/>
      <c r="FH127" s="965"/>
      <c r="FI127" s="972"/>
      <c r="FJ127" s="972"/>
      <c r="FK127" s="972"/>
      <c r="FL127" s="973"/>
      <c r="FM127" s="974"/>
      <c r="FN127" s="975"/>
      <c r="FO127" s="976"/>
      <c r="FP127" s="977"/>
      <c r="FQ127" s="973"/>
      <c r="FR127" s="973"/>
      <c r="FS127" s="973"/>
      <c r="FT127" s="973"/>
      <c r="FU127" s="965"/>
      <c r="FV127" s="972"/>
      <c r="FW127" s="972"/>
      <c r="FX127" s="972"/>
      <c r="FY127" s="973"/>
      <c r="FZ127" s="974"/>
      <c r="GA127" s="975"/>
      <c r="GB127" s="976"/>
      <c r="GC127" s="977"/>
      <c r="GD127" s="973"/>
      <c r="GE127" s="973"/>
      <c r="GF127" s="973"/>
      <c r="GG127" s="973"/>
      <c r="GH127" s="965"/>
      <c r="GI127" s="972"/>
      <c r="GJ127" s="972"/>
      <c r="GK127" s="972"/>
      <c r="GL127" s="973"/>
      <c r="GM127" s="974"/>
      <c r="GN127" s="975"/>
      <c r="GO127" s="976"/>
      <c r="GP127" s="977"/>
      <c r="GQ127" s="973"/>
      <c r="GR127" s="973"/>
      <c r="GS127" s="973"/>
      <c r="GT127" s="973"/>
      <c r="GU127" s="965"/>
      <c r="GV127" s="972"/>
      <c r="GW127" s="972"/>
      <c r="GX127" s="972"/>
      <c r="GY127" s="973"/>
      <c r="GZ127" s="974"/>
      <c r="HA127" s="975"/>
      <c r="HB127" s="976"/>
      <c r="HC127" s="977"/>
      <c r="HD127" s="973"/>
      <c r="HE127" s="973"/>
      <c r="HF127" s="973"/>
      <c r="HG127" s="973"/>
      <c r="HH127" s="965"/>
      <c r="HI127" s="972"/>
      <c r="HJ127" s="972"/>
      <c r="HK127" s="972"/>
      <c r="HL127" s="973"/>
      <c r="HM127" s="974"/>
      <c r="HN127" s="975"/>
      <c r="HO127" s="976"/>
      <c r="HP127" s="977"/>
      <c r="HQ127" s="973"/>
      <c r="HR127" s="973"/>
      <c r="HS127" s="973"/>
      <c r="HT127" s="973"/>
      <c r="HU127" s="965"/>
      <c r="HV127" s="972"/>
      <c r="HW127" s="972"/>
      <c r="HX127" s="972"/>
      <c r="HY127" s="973"/>
      <c r="HZ127" s="974"/>
      <c r="IA127" s="975"/>
      <c r="IB127" s="976"/>
      <c r="IC127" s="977"/>
      <c r="ID127" s="973"/>
      <c r="IE127" s="973"/>
      <c r="IF127" s="973"/>
      <c r="IG127" s="973"/>
      <c r="IH127" s="965"/>
      <c r="II127" s="972"/>
      <c r="IJ127" s="972"/>
      <c r="IK127" s="972"/>
      <c r="IL127" s="973"/>
      <c r="IM127" s="974"/>
      <c r="IN127" s="975"/>
      <c r="IO127" s="976"/>
      <c r="IP127" s="977"/>
      <c r="IQ127" s="973"/>
      <c r="IR127" s="973"/>
      <c r="IS127" s="973"/>
      <c r="IT127" s="973"/>
      <c r="IU127" s="965"/>
      <c r="IV127" s="972"/>
      <c r="IW127" s="972"/>
      <c r="IX127" s="972"/>
      <c r="IY127" s="973"/>
      <c r="IZ127" s="974"/>
      <c r="JA127" s="975"/>
      <c r="JB127" s="976"/>
      <c r="JC127" s="977"/>
      <c r="JD127" s="973"/>
      <c r="JE127" s="973"/>
      <c r="JF127" s="973"/>
      <c r="JG127" s="973"/>
      <c r="JH127" s="965"/>
      <c r="JI127" s="972"/>
      <c r="JJ127" s="972"/>
      <c r="JK127" s="972"/>
      <c r="JL127" s="973"/>
      <c r="JM127" s="974"/>
      <c r="JN127" s="975"/>
      <c r="JO127" s="976"/>
      <c r="JP127" s="977"/>
      <c r="JQ127" s="973"/>
      <c r="JR127" s="973"/>
      <c r="JS127" s="973"/>
      <c r="JT127" s="973"/>
      <c r="JU127" s="965"/>
      <c r="JV127" s="972"/>
      <c r="JW127" s="972"/>
      <c r="JX127" s="972"/>
      <c r="JY127" s="973"/>
      <c r="JZ127" s="974"/>
      <c r="KA127" s="975"/>
      <c r="KB127" s="976"/>
      <c r="KC127" s="977"/>
      <c r="KD127" s="973"/>
      <c r="KE127" s="973"/>
      <c r="KF127" s="973"/>
      <c r="KG127" s="973"/>
      <c r="KH127" s="965"/>
      <c r="KI127" s="972"/>
      <c r="KJ127" s="972"/>
      <c r="KK127" s="972"/>
      <c r="KL127" s="973"/>
      <c r="KM127" s="974"/>
      <c r="KN127" s="975"/>
      <c r="KO127" s="976"/>
      <c r="KP127" s="977"/>
      <c r="KQ127" s="973"/>
      <c r="KR127" s="973"/>
      <c r="KS127" s="973"/>
      <c r="KT127" s="973"/>
      <c r="KU127" s="965"/>
      <c r="KV127" s="972"/>
      <c r="KW127" s="972"/>
      <c r="KX127" s="972"/>
      <c r="KY127" s="973"/>
      <c r="KZ127" s="974"/>
      <c r="LA127" s="975"/>
      <c r="LB127" s="976"/>
      <c r="LC127" s="977"/>
      <c r="LD127" s="973"/>
      <c r="LE127" s="973"/>
      <c r="LF127" s="973"/>
      <c r="LG127" s="973"/>
      <c r="LH127" s="965"/>
      <c r="LI127" s="972"/>
      <c r="LJ127" s="972"/>
      <c r="LK127" s="972"/>
      <c r="LL127" s="973"/>
      <c r="LM127" s="974"/>
      <c r="LN127" s="975"/>
      <c r="LO127" s="976"/>
      <c r="LP127" s="977"/>
      <c r="LQ127" s="973"/>
      <c r="LR127" s="973"/>
      <c r="LS127" s="973"/>
      <c r="LT127" s="973"/>
      <c r="LU127" s="965"/>
      <c r="LV127" s="972"/>
      <c r="LW127" s="972"/>
      <c r="LX127" s="972"/>
      <c r="LY127" s="973"/>
      <c r="LZ127" s="974"/>
      <c r="MA127" s="975"/>
      <c r="MB127" s="976"/>
      <c r="MC127" s="977"/>
      <c r="MD127" s="973"/>
      <c r="ME127" s="973"/>
      <c r="MF127" s="973"/>
      <c r="MG127" s="973"/>
    </row>
    <row r="128" spans="1:345" ht="16" thickBot="1">
      <c r="B128" s="22"/>
      <c r="C128" s="40"/>
      <c r="D128" s="22"/>
      <c r="E128" s="37"/>
      <c r="F128" s="345"/>
      <c r="G128" s="345"/>
      <c r="I128" s="234"/>
      <c r="J128" s="202" t="str">
        <f>IF(I128="","",VLOOKUP(I128,Language!$D$5:$E$100,2,0))</f>
        <v/>
      </c>
      <c r="K128" s="348"/>
      <c r="L128" s="349"/>
      <c r="M128" s="350"/>
      <c r="N128" s="351"/>
      <c r="O128" s="352" t="str">
        <f>IF(($F126&lt;&gt;"")*($G126&lt;&gt;"")*(I128&lt;&gt;""),($F126&gt;$G126)*($B126=I128)+($F126&lt;$G126)*($D126=I128),"")</f>
        <v/>
      </c>
      <c r="P128" s="346"/>
      <c r="Q128" s="254"/>
      <c r="R128" s="994"/>
      <c r="S128" s="254"/>
      <c r="T128" s="996"/>
      <c r="U128" s="965"/>
      <c r="V128" s="978"/>
      <c r="W128" s="973"/>
      <c r="X128" s="966"/>
      <c r="Y128" s="980"/>
      <c r="Z128" s="966"/>
      <c r="AA128" s="980"/>
      <c r="AB128" s="966"/>
      <c r="AC128" s="966"/>
      <c r="AD128" s="980"/>
      <c r="AE128" s="980"/>
      <c r="AF128" s="980"/>
      <c r="AG128" s="980"/>
      <c r="AH128" s="965"/>
      <c r="AI128" s="978"/>
      <c r="AJ128" s="973"/>
      <c r="AK128" s="966"/>
      <c r="AL128" s="980"/>
      <c r="AM128" s="966"/>
      <c r="AN128" s="980"/>
      <c r="AO128" s="966"/>
      <c r="AP128" s="966"/>
      <c r="AQ128" s="980"/>
      <c r="AR128" s="980"/>
      <c r="AS128" s="980"/>
      <c r="AT128" s="980"/>
      <c r="AU128" s="965"/>
      <c r="AV128" s="978"/>
      <c r="AW128" s="973"/>
      <c r="AX128" s="966"/>
      <c r="AY128" s="980"/>
      <c r="AZ128" s="966"/>
      <c r="BA128" s="980"/>
      <c r="BB128" s="966"/>
      <c r="BC128" s="966"/>
      <c r="BD128" s="980"/>
      <c r="BE128" s="980"/>
      <c r="BF128" s="980"/>
      <c r="BG128" s="980"/>
      <c r="BH128" s="965"/>
      <c r="BI128" s="978"/>
      <c r="BJ128" s="973"/>
      <c r="BK128" s="966"/>
      <c r="BL128" s="980"/>
      <c r="BM128" s="966"/>
      <c r="BN128" s="980"/>
      <c r="BO128" s="966"/>
      <c r="BP128" s="966"/>
      <c r="BQ128" s="980"/>
      <c r="BR128" s="980"/>
      <c r="BS128" s="980"/>
      <c r="BT128" s="980"/>
      <c r="BU128" s="965"/>
      <c r="BV128" s="978"/>
      <c r="BW128" s="973"/>
      <c r="BX128" s="966"/>
      <c r="BY128" s="980"/>
      <c r="BZ128" s="966"/>
      <c r="CA128" s="980"/>
      <c r="CB128" s="966"/>
      <c r="CC128" s="966"/>
      <c r="CD128" s="980"/>
      <c r="CE128" s="980"/>
      <c r="CF128" s="980"/>
      <c r="CG128" s="980"/>
      <c r="CH128" s="965"/>
      <c r="CI128" s="978"/>
      <c r="CJ128" s="973"/>
      <c r="CK128" s="966"/>
      <c r="CL128" s="980"/>
      <c r="CM128" s="966"/>
      <c r="CN128" s="980"/>
      <c r="CO128" s="966"/>
      <c r="CP128" s="966"/>
      <c r="CQ128" s="980"/>
      <c r="CR128" s="980"/>
      <c r="CS128" s="980"/>
      <c r="CT128" s="980"/>
      <c r="CU128" s="965"/>
      <c r="CV128" s="978"/>
      <c r="CW128" s="973"/>
      <c r="CX128" s="966"/>
      <c r="CY128" s="980"/>
      <c r="CZ128" s="966"/>
      <c r="DA128" s="980"/>
      <c r="DB128" s="966"/>
      <c r="DC128" s="966"/>
      <c r="DD128" s="980"/>
      <c r="DE128" s="980"/>
      <c r="DF128" s="980"/>
      <c r="DG128" s="980"/>
      <c r="DH128" s="965"/>
      <c r="DI128" s="978"/>
      <c r="DJ128" s="973"/>
      <c r="DK128" s="966"/>
      <c r="DL128" s="980"/>
      <c r="DM128" s="966"/>
      <c r="DN128" s="980"/>
      <c r="DO128" s="966"/>
      <c r="DP128" s="966"/>
      <c r="DQ128" s="980"/>
      <c r="DR128" s="980"/>
      <c r="DS128" s="980"/>
      <c r="DT128" s="980"/>
      <c r="DU128" s="965"/>
      <c r="DV128" s="978"/>
      <c r="DW128" s="973"/>
      <c r="DX128" s="966"/>
      <c r="DY128" s="980"/>
      <c r="DZ128" s="966"/>
      <c r="EA128" s="980"/>
      <c r="EB128" s="966"/>
      <c r="EC128" s="966"/>
      <c r="ED128" s="980"/>
      <c r="EE128" s="980"/>
      <c r="EF128" s="980"/>
      <c r="EG128" s="980"/>
      <c r="EH128" s="965"/>
      <c r="EI128" s="978"/>
      <c r="EJ128" s="973"/>
      <c r="EK128" s="966"/>
      <c r="EL128" s="980"/>
      <c r="EM128" s="966"/>
      <c r="EN128" s="980"/>
      <c r="EO128" s="966"/>
      <c r="EP128" s="966"/>
      <c r="EQ128" s="980"/>
      <c r="ER128" s="980"/>
      <c r="ES128" s="980"/>
      <c r="ET128" s="980"/>
      <c r="EU128" s="965"/>
      <c r="EV128" s="978"/>
      <c r="EW128" s="973"/>
      <c r="EX128" s="966"/>
      <c r="EY128" s="980"/>
      <c r="EZ128" s="966"/>
      <c r="FA128" s="980"/>
      <c r="FB128" s="966"/>
      <c r="FC128" s="966"/>
      <c r="FD128" s="980"/>
      <c r="FE128" s="980"/>
      <c r="FF128" s="980"/>
      <c r="FG128" s="980"/>
      <c r="FH128" s="965"/>
      <c r="FI128" s="978"/>
      <c r="FJ128" s="973"/>
      <c r="FK128" s="966"/>
      <c r="FL128" s="980"/>
      <c r="FM128" s="966"/>
      <c r="FN128" s="980"/>
      <c r="FO128" s="966"/>
      <c r="FP128" s="966"/>
      <c r="FQ128" s="980"/>
      <c r="FR128" s="980"/>
      <c r="FS128" s="980"/>
      <c r="FT128" s="980"/>
      <c r="FU128" s="965"/>
      <c r="FV128" s="978"/>
      <c r="FW128" s="973"/>
      <c r="FX128" s="966"/>
      <c r="FY128" s="980"/>
      <c r="FZ128" s="966"/>
      <c r="GA128" s="980"/>
      <c r="GB128" s="966"/>
      <c r="GC128" s="966"/>
      <c r="GD128" s="980"/>
      <c r="GE128" s="980"/>
      <c r="GF128" s="980"/>
      <c r="GG128" s="980"/>
      <c r="GH128" s="965"/>
      <c r="GI128" s="978"/>
      <c r="GJ128" s="973"/>
      <c r="GK128" s="966"/>
      <c r="GL128" s="980"/>
      <c r="GM128" s="966"/>
      <c r="GN128" s="980"/>
      <c r="GO128" s="966"/>
      <c r="GP128" s="966"/>
      <c r="GQ128" s="980"/>
      <c r="GR128" s="980"/>
      <c r="GS128" s="980"/>
      <c r="GT128" s="980"/>
      <c r="GU128" s="965"/>
      <c r="GV128" s="978"/>
      <c r="GW128" s="973"/>
      <c r="GX128" s="966"/>
      <c r="GY128" s="980"/>
      <c r="GZ128" s="966"/>
      <c r="HA128" s="980"/>
      <c r="HB128" s="966"/>
      <c r="HC128" s="966"/>
      <c r="HD128" s="980"/>
      <c r="HE128" s="980"/>
      <c r="HF128" s="980"/>
      <c r="HG128" s="980"/>
      <c r="HH128" s="965"/>
      <c r="HI128" s="978"/>
      <c r="HJ128" s="973"/>
      <c r="HK128" s="966"/>
      <c r="HL128" s="980"/>
      <c r="HM128" s="966"/>
      <c r="HN128" s="980"/>
      <c r="HO128" s="966"/>
      <c r="HP128" s="966"/>
      <c r="HQ128" s="980"/>
      <c r="HR128" s="980"/>
      <c r="HS128" s="980"/>
      <c r="HT128" s="980"/>
      <c r="HU128" s="965"/>
      <c r="HV128" s="978"/>
      <c r="HW128" s="973"/>
      <c r="HX128" s="966"/>
      <c r="HY128" s="980"/>
      <c r="HZ128" s="966"/>
      <c r="IA128" s="980"/>
      <c r="IB128" s="966"/>
      <c r="IC128" s="966"/>
      <c r="ID128" s="980"/>
      <c r="IE128" s="980"/>
      <c r="IF128" s="980"/>
      <c r="IG128" s="980"/>
      <c r="IH128" s="965"/>
      <c r="II128" s="978"/>
      <c r="IJ128" s="973"/>
      <c r="IK128" s="966"/>
      <c r="IL128" s="980"/>
      <c r="IM128" s="966"/>
      <c r="IN128" s="980"/>
      <c r="IO128" s="966"/>
      <c r="IP128" s="966"/>
      <c r="IQ128" s="980"/>
      <c r="IR128" s="980"/>
      <c r="IS128" s="980"/>
      <c r="IT128" s="980"/>
      <c r="IU128" s="965"/>
      <c r="IV128" s="978"/>
      <c r="IW128" s="973"/>
      <c r="IX128" s="966"/>
      <c r="IY128" s="980"/>
      <c r="IZ128" s="966"/>
      <c r="JA128" s="980"/>
      <c r="JB128" s="966"/>
      <c r="JC128" s="966"/>
      <c r="JD128" s="980"/>
      <c r="JE128" s="980"/>
      <c r="JF128" s="980"/>
      <c r="JG128" s="980"/>
      <c r="JH128" s="965"/>
      <c r="JI128" s="978"/>
      <c r="JJ128" s="973"/>
      <c r="JK128" s="966"/>
      <c r="JL128" s="980"/>
      <c r="JM128" s="966"/>
      <c r="JN128" s="980"/>
      <c r="JO128" s="966"/>
      <c r="JP128" s="966"/>
      <c r="JQ128" s="980"/>
      <c r="JR128" s="980"/>
      <c r="JS128" s="980"/>
      <c r="JT128" s="980"/>
      <c r="JU128" s="965"/>
      <c r="JV128" s="978"/>
      <c r="JW128" s="973"/>
      <c r="JX128" s="966"/>
      <c r="JY128" s="980"/>
      <c r="JZ128" s="966"/>
      <c r="KA128" s="980"/>
      <c r="KB128" s="966"/>
      <c r="KC128" s="966"/>
      <c r="KD128" s="980"/>
      <c r="KE128" s="980"/>
      <c r="KF128" s="980"/>
      <c r="KG128" s="980"/>
      <c r="KH128" s="965"/>
      <c r="KI128" s="978"/>
      <c r="KJ128" s="973"/>
      <c r="KK128" s="966"/>
      <c r="KL128" s="980"/>
      <c r="KM128" s="966"/>
      <c r="KN128" s="980"/>
      <c r="KO128" s="966"/>
      <c r="KP128" s="966"/>
      <c r="KQ128" s="980"/>
      <c r="KR128" s="980"/>
      <c r="KS128" s="980"/>
      <c r="KT128" s="980"/>
      <c r="KU128" s="965"/>
      <c r="KV128" s="978"/>
      <c r="KW128" s="973"/>
      <c r="KX128" s="966"/>
      <c r="KY128" s="980"/>
      <c r="KZ128" s="966"/>
      <c r="LA128" s="980"/>
      <c r="LB128" s="966"/>
      <c r="LC128" s="966"/>
      <c r="LD128" s="980"/>
      <c r="LE128" s="980"/>
      <c r="LF128" s="980"/>
      <c r="LG128" s="980"/>
      <c r="LH128" s="965"/>
      <c r="LI128" s="978"/>
      <c r="LJ128" s="973"/>
      <c r="LK128" s="966"/>
      <c r="LL128" s="980"/>
      <c r="LM128" s="966"/>
      <c r="LN128" s="980"/>
      <c r="LO128" s="966"/>
      <c r="LP128" s="966"/>
      <c r="LQ128" s="980"/>
      <c r="LR128" s="980"/>
      <c r="LS128" s="980"/>
      <c r="LT128" s="980"/>
      <c r="LU128" s="965"/>
      <c r="LV128" s="978"/>
      <c r="LW128" s="973"/>
      <c r="LX128" s="966"/>
      <c r="LY128" s="980"/>
      <c r="LZ128" s="966"/>
      <c r="MA128" s="980"/>
      <c r="MB128" s="966"/>
      <c r="MC128" s="966"/>
      <c r="MD128" s="980"/>
      <c r="ME128" s="980"/>
      <c r="MF128" s="980"/>
      <c r="MG128" s="980"/>
    </row>
    <row r="129" spans="2:345" ht="40.5" customHeight="1" thickTop="1">
      <c r="I129" s="962"/>
      <c r="J129" s="962"/>
      <c r="K129" s="962"/>
      <c r="L129" s="262"/>
      <c r="M129" s="263"/>
      <c r="N129" s="263"/>
      <c r="O129" s="217" t="str">
        <f>Language!$E$219</f>
        <v>Finale</v>
      </c>
      <c r="P129" s="217" t="str">
        <f>Language!$E$210</f>
        <v>W/G/V</v>
      </c>
      <c r="Q129" s="217" t="str">
        <f>Language!$E$211</f>
        <v>DS</v>
      </c>
      <c r="R129" s="217" t="str">
        <f>Language!$E$212</f>
        <v>exact</v>
      </c>
      <c r="S129" s="217" t="str">
        <f>Language!$E$224</f>
        <v>grote aant.</v>
      </c>
      <c r="T129" s="986" t="str">
        <f>Language!$E$213</f>
        <v>teams</v>
      </c>
      <c r="U129" s="965"/>
      <c r="V129" s="966"/>
      <c r="W129" s="966"/>
      <c r="X129" s="966"/>
      <c r="Y129" s="966"/>
      <c r="Z129" s="966"/>
      <c r="AA129" s="966"/>
      <c r="AB129" s="971"/>
      <c r="AC129" s="971"/>
      <c r="AD129" s="971"/>
      <c r="AE129" s="971"/>
      <c r="AF129" s="971"/>
      <c r="AG129" s="971"/>
      <c r="AH129" s="965"/>
      <c r="AI129" s="966"/>
      <c r="AJ129" s="966"/>
      <c r="AK129" s="966"/>
      <c r="AL129" s="966"/>
      <c r="AM129" s="966"/>
      <c r="AN129" s="966"/>
      <c r="AO129" s="971"/>
      <c r="AP129" s="971"/>
      <c r="AQ129" s="971"/>
      <c r="AR129" s="971"/>
      <c r="AS129" s="971"/>
      <c r="AT129" s="971"/>
      <c r="AU129" s="965"/>
      <c r="AV129" s="966"/>
      <c r="AW129" s="966"/>
      <c r="AX129" s="966"/>
      <c r="AY129" s="966"/>
      <c r="AZ129" s="966"/>
      <c r="BA129" s="966"/>
      <c r="BB129" s="971"/>
      <c r="BC129" s="971"/>
      <c r="BD129" s="971"/>
      <c r="BE129" s="971"/>
      <c r="BF129" s="971"/>
      <c r="BG129" s="971"/>
      <c r="BH129" s="965"/>
      <c r="BI129" s="966"/>
      <c r="BJ129" s="966"/>
      <c r="BK129" s="966"/>
      <c r="BL129" s="966"/>
      <c r="BM129" s="966"/>
      <c r="BN129" s="966"/>
      <c r="BO129" s="971"/>
      <c r="BP129" s="971"/>
      <c r="BQ129" s="971"/>
      <c r="BR129" s="971"/>
      <c r="BS129" s="971"/>
      <c r="BT129" s="971"/>
      <c r="BU129" s="965"/>
      <c r="BV129" s="966"/>
      <c r="BW129" s="966"/>
      <c r="BX129" s="966"/>
      <c r="BY129" s="966"/>
      <c r="BZ129" s="966"/>
      <c r="CA129" s="966"/>
      <c r="CB129" s="971"/>
      <c r="CC129" s="971"/>
      <c r="CD129" s="971"/>
      <c r="CE129" s="971"/>
      <c r="CF129" s="971"/>
      <c r="CG129" s="971"/>
      <c r="CH129" s="965"/>
      <c r="CI129" s="966"/>
      <c r="CJ129" s="966"/>
      <c r="CK129" s="966"/>
      <c r="CL129" s="966"/>
      <c r="CM129" s="966"/>
      <c r="CN129" s="966"/>
      <c r="CO129" s="971"/>
      <c r="CP129" s="971"/>
      <c r="CQ129" s="971"/>
      <c r="CR129" s="971"/>
      <c r="CS129" s="971"/>
      <c r="CT129" s="971"/>
      <c r="CU129" s="965"/>
      <c r="CV129" s="966"/>
      <c r="CW129" s="966"/>
      <c r="CX129" s="966"/>
      <c r="CY129" s="966"/>
      <c r="CZ129" s="966"/>
      <c r="DA129" s="966"/>
      <c r="DB129" s="971"/>
      <c r="DC129" s="971"/>
      <c r="DD129" s="971"/>
      <c r="DE129" s="971"/>
      <c r="DF129" s="971"/>
      <c r="DG129" s="971"/>
      <c r="DH129" s="965"/>
      <c r="DI129" s="966"/>
      <c r="DJ129" s="966"/>
      <c r="DK129" s="966"/>
      <c r="DL129" s="966"/>
      <c r="DM129" s="966"/>
      <c r="DN129" s="966"/>
      <c r="DO129" s="971"/>
      <c r="DP129" s="971"/>
      <c r="DQ129" s="971"/>
      <c r="DR129" s="971"/>
      <c r="DS129" s="971"/>
      <c r="DT129" s="971"/>
      <c r="DU129" s="965"/>
      <c r="DV129" s="966"/>
      <c r="DW129" s="966"/>
      <c r="DX129" s="966"/>
      <c r="DY129" s="966"/>
      <c r="DZ129" s="966"/>
      <c r="EA129" s="966"/>
      <c r="EB129" s="971"/>
      <c r="EC129" s="971"/>
      <c r="ED129" s="971"/>
      <c r="EE129" s="971"/>
      <c r="EF129" s="971"/>
      <c r="EG129" s="971"/>
      <c r="EH129" s="965"/>
      <c r="EI129" s="966"/>
      <c r="EJ129" s="966"/>
      <c r="EK129" s="966"/>
      <c r="EL129" s="966"/>
      <c r="EM129" s="966"/>
      <c r="EN129" s="966"/>
      <c r="EO129" s="971"/>
      <c r="EP129" s="971"/>
      <c r="EQ129" s="971"/>
      <c r="ER129" s="971"/>
      <c r="ES129" s="971"/>
      <c r="ET129" s="971"/>
      <c r="EU129" s="965"/>
      <c r="EV129" s="966"/>
      <c r="EW129" s="966"/>
      <c r="EX129" s="966"/>
      <c r="EY129" s="966"/>
      <c r="EZ129" s="966"/>
      <c r="FA129" s="966"/>
      <c r="FB129" s="971"/>
      <c r="FC129" s="971"/>
      <c r="FD129" s="971"/>
      <c r="FE129" s="971"/>
      <c r="FF129" s="971"/>
      <c r="FG129" s="971"/>
      <c r="FH129" s="965"/>
      <c r="FI129" s="966"/>
      <c r="FJ129" s="966"/>
      <c r="FK129" s="966"/>
      <c r="FL129" s="966"/>
      <c r="FM129" s="966"/>
      <c r="FN129" s="966"/>
      <c r="FO129" s="971"/>
      <c r="FP129" s="971"/>
      <c r="FQ129" s="971"/>
      <c r="FR129" s="971"/>
      <c r="FS129" s="971"/>
      <c r="FT129" s="971"/>
      <c r="FU129" s="965"/>
      <c r="FV129" s="966"/>
      <c r="FW129" s="966"/>
      <c r="FX129" s="966"/>
      <c r="FY129" s="966"/>
      <c r="FZ129" s="966"/>
      <c r="GA129" s="966"/>
      <c r="GB129" s="971"/>
      <c r="GC129" s="971"/>
      <c r="GD129" s="971"/>
      <c r="GE129" s="971"/>
      <c r="GF129" s="971"/>
      <c r="GG129" s="971"/>
      <c r="GH129" s="965"/>
      <c r="GI129" s="966"/>
      <c r="GJ129" s="966"/>
      <c r="GK129" s="966"/>
      <c r="GL129" s="966"/>
      <c r="GM129" s="966"/>
      <c r="GN129" s="966"/>
      <c r="GO129" s="971"/>
      <c r="GP129" s="971"/>
      <c r="GQ129" s="971"/>
      <c r="GR129" s="971"/>
      <c r="GS129" s="971"/>
      <c r="GT129" s="971"/>
      <c r="GU129" s="965"/>
      <c r="GV129" s="966"/>
      <c r="GW129" s="966"/>
      <c r="GX129" s="966"/>
      <c r="GY129" s="966"/>
      <c r="GZ129" s="966"/>
      <c r="HA129" s="966"/>
      <c r="HB129" s="971"/>
      <c r="HC129" s="971"/>
      <c r="HD129" s="971"/>
      <c r="HE129" s="971"/>
      <c r="HF129" s="971"/>
      <c r="HG129" s="971"/>
      <c r="HH129" s="965"/>
      <c r="HI129" s="966"/>
      <c r="HJ129" s="966"/>
      <c r="HK129" s="966"/>
      <c r="HL129" s="966"/>
      <c r="HM129" s="966"/>
      <c r="HN129" s="966"/>
      <c r="HO129" s="971"/>
      <c r="HP129" s="971"/>
      <c r="HQ129" s="971"/>
      <c r="HR129" s="971"/>
      <c r="HS129" s="971"/>
      <c r="HT129" s="971"/>
      <c r="HU129" s="965"/>
      <c r="HV129" s="966"/>
      <c r="HW129" s="966"/>
      <c r="HX129" s="966"/>
      <c r="HY129" s="966"/>
      <c r="HZ129" s="966"/>
      <c r="IA129" s="966"/>
      <c r="IB129" s="971"/>
      <c r="IC129" s="971"/>
      <c r="ID129" s="971"/>
      <c r="IE129" s="971"/>
      <c r="IF129" s="971"/>
      <c r="IG129" s="971"/>
      <c r="IH129" s="965"/>
      <c r="II129" s="966"/>
      <c r="IJ129" s="966"/>
      <c r="IK129" s="966"/>
      <c r="IL129" s="966"/>
      <c r="IM129" s="966"/>
      <c r="IN129" s="966"/>
      <c r="IO129" s="971"/>
      <c r="IP129" s="971"/>
      <c r="IQ129" s="971"/>
      <c r="IR129" s="971"/>
      <c r="IS129" s="971"/>
      <c r="IT129" s="971"/>
      <c r="IU129" s="965"/>
      <c r="IV129" s="966"/>
      <c r="IW129" s="966"/>
      <c r="IX129" s="966"/>
      <c r="IY129" s="966"/>
      <c r="IZ129" s="966"/>
      <c r="JA129" s="966"/>
      <c r="JB129" s="971"/>
      <c r="JC129" s="971"/>
      <c r="JD129" s="971"/>
      <c r="JE129" s="971"/>
      <c r="JF129" s="971"/>
      <c r="JG129" s="971"/>
      <c r="JH129" s="965"/>
      <c r="JI129" s="966"/>
      <c r="JJ129" s="966"/>
      <c r="JK129" s="966"/>
      <c r="JL129" s="966"/>
      <c r="JM129" s="966"/>
      <c r="JN129" s="966"/>
      <c r="JO129" s="971"/>
      <c r="JP129" s="971"/>
      <c r="JQ129" s="971"/>
      <c r="JR129" s="971"/>
      <c r="JS129" s="971"/>
      <c r="JT129" s="971"/>
      <c r="JU129" s="965"/>
      <c r="JV129" s="966"/>
      <c r="JW129" s="966"/>
      <c r="JX129" s="966"/>
      <c r="JY129" s="966"/>
      <c r="JZ129" s="966"/>
      <c r="KA129" s="966"/>
      <c r="KB129" s="971"/>
      <c r="KC129" s="971"/>
      <c r="KD129" s="971"/>
      <c r="KE129" s="971"/>
      <c r="KF129" s="971"/>
      <c r="KG129" s="971"/>
      <c r="KH129" s="965"/>
      <c r="KI129" s="966"/>
      <c r="KJ129" s="966"/>
      <c r="KK129" s="966"/>
      <c r="KL129" s="966"/>
      <c r="KM129" s="966"/>
      <c r="KN129" s="966"/>
      <c r="KO129" s="971"/>
      <c r="KP129" s="971"/>
      <c r="KQ129" s="971"/>
      <c r="KR129" s="971"/>
      <c r="KS129" s="971"/>
      <c r="KT129" s="971"/>
      <c r="KU129" s="965"/>
      <c r="KV129" s="966"/>
      <c r="KW129" s="966"/>
      <c r="KX129" s="966"/>
      <c r="KY129" s="966"/>
      <c r="KZ129" s="966"/>
      <c r="LA129" s="966"/>
      <c r="LB129" s="971"/>
      <c r="LC129" s="971"/>
      <c r="LD129" s="971"/>
      <c r="LE129" s="971"/>
      <c r="LF129" s="971"/>
      <c r="LG129" s="971"/>
      <c r="LH129" s="965"/>
      <c r="LI129" s="966"/>
      <c r="LJ129" s="966"/>
      <c r="LK129" s="966"/>
      <c r="LL129" s="966"/>
      <c r="LM129" s="966"/>
      <c r="LN129" s="966"/>
      <c r="LO129" s="971"/>
      <c r="LP129" s="971"/>
      <c r="LQ129" s="971"/>
      <c r="LR129" s="971"/>
      <c r="LS129" s="971"/>
      <c r="LT129" s="971"/>
      <c r="LU129" s="965"/>
      <c r="LV129" s="966"/>
      <c r="LW129" s="966"/>
      <c r="LX129" s="966"/>
      <c r="LY129" s="966"/>
      <c r="LZ129" s="966"/>
      <c r="MA129" s="966"/>
      <c r="MB129" s="971"/>
      <c r="MC129" s="971"/>
      <c r="MD129" s="971"/>
      <c r="ME129" s="971"/>
      <c r="MF129" s="971"/>
      <c r="MG129" s="971"/>
    </row>
    <row r="130" spans="2:345">
      <c r="I130" s="962"/>
      <c r="J130" s="962"/>
      <c r="K130" s="962"/>
      <c r="L130" s="875" t="str">
        <f>Language!$E$245</f>
        <v>Nummer:</v>
      </c>
      <c r="M130" s="876"/>
      <c r="N130" s="877"/>
      <c r="O130" s="198">
        <f>SUM(O126:O128)</f>
        <v>0</v>
      </c>
      <c r="P130" s="198">
        <f>SUM(P6:P88)</f>
        <v>0</v>
      </c>
      <c r="Q130" s="198">
        <f>SUM(Q6:Q88)</f>
        <v>0</v>
      </c>
      <c r="R130" s="198">
        <f>SUM(R6:R88)</f>
        <v>0</v>
      </c>
      <c r="S130" s="198">
        <f>SUM(S6:S88)</f>
        <v>0</v>
      </c>
      <c r="T130" s="991">
        <f>SUM(T90:T124)</f>
        <v>0</v>
      </c>
      <c r="U130" s="965"/>
      <c r="V130" s="966"/>
      <c r="W130" s="966"/>
      <c r="X130" s="966"/>
      <c r="Y130" s="982"/>
      <c r="Z130" s="982"/>
      <c r="AA130" s="982"/>
      <c r="AB130" s="966"/>
      <c r="AC130" s="966"/>
      <c r="AD130" s="966"/>
      <c r="AE130" s="966"/>
      <c r="AF130" s="966"/>
      <c r="AG130" s="966"/>
      <c r="AH130" s="965"/>
      <c r="AI130" s="966"/>
      <c r="AJ130" s="966"/>
      <c r="AK130" s="966"/>
      <c r="AL130" s="982"/>
      <c r="AM130" s="982"/>
      <c r="AN130" s="982"/>
      <c r="AO130" s="966"/>
      <c r="AP130" s="966"/>
      <c r="AQ130" s="966"/>
      <c r="AR130" s="966"/>
      <c r="AS130" s="966"/>
      <c r="AT130" s="966"/>
      <c r="AU130" s="965"/>
      <c r="AV130" s="966"/>
      <c r="AW130" s="966"/>
      <c r="AX130" s="966"/>
      <c r="AY130" s="982"/>
      <c r="AZ130" s="982"/>
      <c r="BA130" s="982"/>
      <c r="BB130" s="966"/>
      <c r="BC130" s="966"/>
      <c r="BD130" s="966"/>
      <c r="BE130" s="966"/>
      <c r="BF130" s="966"/>
      <c r="BG130" s="966"/>
      <c r="BH130" s="965"/>
      <c r="BI130" s="966"/>
      <c r="BJ130" s="966"/>
      <c r="BK130" s="966"/>
      <c r="BL130" s="982"/>
      <c r="BM130" s="982"/>
      <c r="BN130" s="982"/>
      <c r="BO130" s="966"/>
      <c r="BP130" s="966"/>
      <c r="BQ130" s="966"/>
      <c r="BR130" s="966"/>
      <c r="BS130" s="966"/>
      <c r="BT130" s="966"/>
      <c r="BU130" s="965"/>
      <c r="BV130" s="966"/>
      <c r="BW130" s="966"/>
      <c r="BX130" s="966"/>
      <c r="BY130" s="982"/>
      <c r="BZ130" s="982"/>
      <c r="CA130" s="982"/>
      <c r="CB130" s="966"/>
      <c r="CC130" s="966"/>
      <c r="CD130" s="966"/>
      <c r="CE130" s="966"/>
      <c r="CF130" s="966"/>
      <c r="CG130" s="966"/>
      <c r="CH130" s="965"/>
      <c r="CI130" s="966"/>
      <c r="CJ130" s="966"/>
      <c r="CK130" s="966"/>
      <c r="CL130" s="982"/>
      <c r="CM130" s="982"/>
      <c r="CN130" s="982"/>
      <c r="CO130" s="966"/>
      <c r="CP130" s="966"/>
      <c r="CQ130" s="966"/>
      <c r="CR130" s="966"/>
      <c r="CS130" s="966"/>
      <c r="CT130" s="966"/>
      <c r="CU130" s="965"/>
      <c r="CV130" s="966"/>
      <c r="CW130" s="966"/>
      <c r="CX130" s="966"/>
      <c r="CY130" s="982"/>
      <c r="CZ130" s="982"/>
      <c r="DA130" s="982"/>
      <c r="DB130" s="966"/>
      <c r="DC130" s="966"/>
      <c r="DD130" s="966"/>
      <c r="DE130" s="966"/>
      <c r="DF130" s="966"/>
      <c r="DG130" s="966"/>
      <c r="DH130" s="965"/>
      <c r="DI130" s="966"/>
      <c r="DJ130" s="966"/>
      <c r="DK130" s="966"/>
      <c r="DL130" s="982"/>
      <c r="DM130" s="982"/>
      <c r="DN130" s="982"/>
      <c r="DO130" s="966"/>
      <c r="DP130" s="966"/>
      <c r="DQ130" s="966"/>
      <c r="DR130" s="966"/>
      <c r="DS130" s="966"/>
      <c r="DT130" s="966"/>
      <c r="DU130" s="965"/>
      <c r="DV130" s="966"/>
      <c r="DW130" s="966"/>
      <c r="DX130" s="966"/>
      <c r="DY130" s="982"/>
      <c r="DZ130" s="982"/>
      <c r="EA130" s="982"/>
      <c r="EB130" s="966"/>
      <c r="EC130" s="966"/>
      <c r="ED130" s="966"/>
      <c r="EE130" s="966"/>
      <c r="EF130" s="966"/>
      <c r="EG130" s="966"/>
      <c r="EH130" s="965"/>
      <c r="EI130" s="966"/>
      <c r="EJ130" s="966"/>
      <c r="EK130" s="966"/>
      <c r="EL130" s="982"/>
      <c r="EM130" s="982"/>
      <c r="EN130" s="982"/>
      <c r="EO130" s="966"/>
      <c r="EP130" s="966"/>
      <c r="EQ130" s="966"/>
      <c r="ER130" s="966"/>
      <c r="ES130" s="966"/>
      <c r="ET130" s="966"/>
      <c r="EU130" s="965"/>
      <c r="EV130" s="966"/>
      <c r="EW130" s="966"/>
      <c r="EX130" s="966"/>
      <c r="EY130" s="982"/>
      <c r="EZ130" s="982"/>
      <c r="FA130" s="982"/>
      <c r="FB130" s="966"/>
      <c r="FC130" s="966"/>
      <c r="FD130" s="966"/>
      <c r="FE130" s="966"/>
      <c r="FF130" s="966"/>
      <c r="FG130" s="966"/>
      <c r="FH130" s="965"/>
      <c r="FI130" s="966"/>
      <c r="FJ130" s="966"/>
      <c r="FK130" s="966"/>
      <c r="FL130" s="982"/>
      <c r="FM130" s="982"/>
      <c r="FN130" s="982"/>
      <c r="FO130" s="966"/>
      <c r="FP130" s="966"/>
      <c r="FQ130" s="966"/>
      <c r="FR130" s="966"/>
      <c r="FS130" s="966"/>
      <c r="FT130" s="966"/>
      <c r="FU130" s="965"/>
      <c r="FV130" s="966"/>
      <c r="FW130" s="966"/>
      <c r="FX130" s="966"/>
      <c r="FY130" s="982"/>
      <c r="FZ130" s="982"/>
      <c r="GA130" s="982"/>
      <c r="GB130" s="966"/>
      <c r="GC130" s="966"/>
      <c r="GD130" s="966"/>
      <c r="GE130" s="966"/>
      <c r="GF130" s="966"/>
      <c r="GG130" s="966"/>
      <c r="GH130" s="965"/>
      <c r="GI130" s="966"/>
      <c r="GJ130" s="966"/>
      <c r="GK130" s="966"/>
      <c r="GL130" s="982"/>
      <c r="GM130" s="982"/>
      <c r="GN130" s="982"/>
      <c r="GO130" s="966"/>
      <c r="GP130" s="966"/>
      <c r="GQ130" s="966"/>
      <c r="GR130" s="966"/>
      <c r="GS130" s="966"/>
      <c r="GT130" s="966"/>
      <c r="GU130" s="965"/>
      <c r="GV130" s="966"/>
      <c r="GW130" s="966"/>
      <c r="GX130" s="966"/>
      <c r="GY130" s="982"/>
      <c r="GZ130" s="982"/>
      <c r="HA130" s="982"/>
      <c r="HB130" s="966"/>
      <c r="HC130" s="966"/>
      <c r="HD130" s="966"/>
      <c r="HE130" s="966"/>
      <c r="HF130" s="966"/>
      <c r="HG130" s="966"/>
      <c r="HH130" s="965"/>
      <c r="HI130" s="966"/>
      <c r="HJ130" s="966"/>
      <c r="HK130" s="966"/>
      <c r="HL130" s="982"/>
      <c r="HM130" s="982"/>
      <c r="HN130" s="982"/>
      <c r="HO130" s="966"/>
      <c r="HP130" s="966"/>
      <c r="HQ130" s="966"/>
      <c r="HR130" s="966"/>
      <c r="HS130" s="966"/>
      <c r="HT130" s="966"/>
      <c r="HU130" s="965"/>
      <c r="HV130" s="966"/>
      <c r="HW130" s="966"/>
      <c r="HX130" s="966"/>
      <c r="HY130" s="982"/>
      <c r="HZ130" s="982"/>
      <c r="IA130" s="982"/>
      <c r="IB130" s="966"/>
      <c r="IC130" s="966"/>
      <c r="ID130" s="966"/>
      <c r="IE130" s="966"/>
      <c r="IF130" s="966"/>
      <c r="IG130" s="966"/>
      <c r="IH130" s="965"/>
      <c r="II130" s="966"/>
      <c r="IJ130" s="966"/>
      <c r="IK130" s="966"/>
      <c r="IL130" s="982"/>
      <c r="IM130" s="982"/>
      <c r="IN130" s="982"/>
      <c r="IO130" s="966"/>
      <c r="IP130" s="966"/>
      <c r="IQ130" s="966"/>
      <c r="IR130" s="966"/>
      <c r="IS130" s="966"/>
      <c r="IT130" s="966"/>
      <c r="IU130" s="965"/>
      <c r="IV130" s="966"/>
      <c r="IW130" s="966"/>
      <c r="IX130" s="966"/>
      <c r="IY130" s="982"/>
      <c r="IZ130" s="982"/>
      <c r="JA130" s="982"/>
      <c r="JB130" s="966"/>
      <c r="JC130" s="966"/>
      <c r="JD130" s="966"/>
      <c r="JE130" s="966"/>
      <c r="JF130" s="966"/>
      <c r="JG130" s="966"/>
      <c r="JH130" s="965"/>
      <c r="JI130" s="966"/>
      <c r="JJ130" s="966"/>
      <c r="JK130" s="966"/>
      <c r="JL130" s="982"/>
      <c r="JM130" s="982"/>
      <c r="JN130" s="982"/>
      <c r="JO130" s="966"/>
      <c r="JP130" s="966"/>
      <c r="JQ130" s="966"/>
      <c r="JR130" s="966"/>
      <c r="JS130" s="966"/>
      <c r="JT130" s="966"/>
      <c r="JU130" s="965"/>
      <c r="JV130" s="966"/>
      <c r="JW130" s="966"/>
      <c r="JX130" s="966"/>
      <c r="JY130" s="982"/>
      <c r="JZ130" s="982"/>
      <c r="KA130" s="982"/>
      <c r="KB130" s="966"/>
      <c r="KC130" s="966"/>
      <c r="KD130" s="966"/>
      <c r="KE130" s="966"/>
      <c r="KF130" s="966"/>
      <c r="KG130" s="966"/>
      <c r="KH130" s="965"/>
      <c r="KI130" s="966"/>
      <c r="KJ130" s="966"/>
      <c r="KK130" s="966"/>
      <c r="KL130" s="982"/>
      <c r="KM130" s="982"/>
      <c r="KN130" s="982"/>
      <c r="KO130" s="966"/>
      <c r="KP130" s="966"/>
      <c r="KQ130" s="966"/>
      <c r="KR130" s="966"/>
      <c r="KS130" s="966"/>
      <c r="KT130" s="966"/>
      <c r="KU130" s="965"/>
      <c r="KV130" s="966"/>
      <c r="KW130" s="966"/>
      <c r="KX130" s="966"/>
      <c r="KY130" s="982"/>
      <c r="KZ130" s="982"/>
      <c r="LA130" s="982"/>
      <c r="LB130" s="966"/>
      <c r="LC130" s="966"/>
      <c r="LD130" s="966"/>
      <c r="LE130" s="966"/>
      <c r="LF130" s="966"/>
      <c r="LG130" s="966"/>
      <c r="LH130" s="965"/>
      <c r="LI130" s="966"/>
      <c r="LJ130" s="966"/>
      <c r="LK130" s="966"/>
      <c r="LL130" s="982"/>
      <c r="LM130" s="982"/>
      <c r="LN130" s="982"/>
      <c r="LO130" s="966"/>
      <c r="LP130" s="966"/>
      <c r="LQ130" s="966"/>
      <c r="LR130" s="966"/>
      <c r="LS130" s="966"/>
      <c r="LT130" s="966"/>
      <c r="LU130" s="965"/>
      <c r="LV130" s="966"/>
      <c r="LW130" s="966"/>
      <c r="LX130" s="966"/>
      <c r="LY130" s="982"/>
      <c r="LZ130" s="982"/>
      <c r="MA130" s="982"/>
      <c r="MB130" s="966"/>
      <c r="MC130" s="966"/>
      <c r="MD130" s="966"/>
      <c r="ME130" s="966"/>
      <c r="MF130" s="966"/>
      <c r="MG130" s="966"/>
    </row>
    <row r="131" spans="2:345" ht="16" thickBot="1">
      <c r="I131" s="962"/>
      <c r="J131" s="962"/>
      <c r="K131" s="962"/>
      <c r="L131" s="869" t="str">
        <f>Language!$E$207</f>
        <v>Punten:</v>
      </c>
      <c r="M131" s="870"/>
      <c r="N131" s="871"/>
      <c r="O131" s="225">
        <f>O130*PrSettings!$F$9</f>
        <v>0</v>
      </c>
      <c r="P131" s="225">
        <f>P130*PrSettings!$F$4</f>
        <v>0</v>
      </c>
      <c r="Q131" s="225">
        <f>Q130*PrSettings!$F$5</f>
        <v>0</v>
      </c>
      <c r="R131" s="225">
        <f>R130*PrSettings!$F$6</f>
        <v>0</v>
      </c>
      <c r="S131" s="225">
        <f>S130*PrSettings!$F$7</f>
        <v>0</v>
      </c>
      <c r="T131" s="997">
        <f>T130*PrSettings!$F$8</f>
        <v>0</v>
      </c>
      <c r="U131" s="965"/>
      <c r="V131" s="966"/>
      <c r="W131" s="966"/>
      <c r="X131" s="966"/>
      <c r="Y131" s="982"/>
      <c r="Z131" s="982"/>
      <c r="AA131" s="982"/>
      <c r="AB131" s="966"/>
      <c r="AC131" s="966"/>
      <c r="AD131" s="966"/>
      <c r="AE131" s="966"/>
      <c r="AF131" s="966"/>
      <c r="AG131" s="966"/>
      <c r="AH131" s="965"/>
      <c r="AI131" s="966"/>
      <c r="AJ131" s="966"/>
      <c r="AK131" s="966"/>
      <c r="AL131" s="982"/>
      <c r="AM131" s="982"/>
      <c r="AN131" s="982"/>
      <c r="AO131" s="966"/>
      <c r="AP131" s="966"/>
      <c r="AQ131" s="966"/>
      <c r="AR131" s="966"/>
      <c r="AS131" s="966"/>
      <c r="AT131" s="966"/>
      <c r="AU131" s="965"/>
      <c r="AV131" s="966"/>
      <c r="AW131" s="966"/>
      <c r="AX131" s="966"/>
      <c r="AY131" s="982"/>
      <c r="AZ131" s="982"/>
      <c r="BA131" s="982"/>
      <c r="BB131" s="966"/>
      <c r="BC131" s="966"/>
      <c r="BD131" s="966"/>
      <c r="BE131" s="966"/>
      <c r="BF131" s="966"/>
      <c r="BG131" s="966"/>
      <c r="BH131" s="965"/>
      <c r="BI131" s="966"/>
      <c r="BJ131" s="966"/>
      <c r="BK131" s="966"/>
      <c r="BL131" s="982"/>
      <c r="BM131" s="982"/>
      <c r="BN131" s="982"/>
      <c r="BO131" s="966"/>
      <c r="BP131" s="966"/>
      <c r="BQ131" s="966"/>
      <c r="BR131" s="966"/>
      <c r="BS131" s="966"/>
      <c r="BT131" s="966"/>
      <c r="BU131" s="965"/>
      <c r="BV131" s="966"/>
      <c r="BW131" s="966"/>
      <c r="BX131" s="966"/>
      <c r="BY131" s="982"/>
      <c r="BZ131" s="982"/>
      <c r="CA131" s="982"/>
      <c r="CB131" s="966"/>
      <c r="CC131" s="966"/>
      <c r="CD131" s="966"/>
      <c r="CE131" s="966"/>
      <c r="CF131" s="966"/>
      <c r="CG131" s="966"/>
      <c r="CH131" s="965"/>
      <c r="CI131" s="966"/>
      <c r="CJ131" s="966"/>
      <c r="CK131" s="966"/>
      <c r="CL131" s="982"/>
      <c r="CM131" s="982"/>
      <c r="CN131" s="982"/>
      <c r="CO131" s="966"/>
      <c r="CP131" s="966"/>
      <c r="CQ131" s="966"/>
      <c r="CR131" s="966"/>
      <c r="CS131" s="966"/>
      <c r="CT131" s="966"/>
      <c r="CU131" s="965"/>
      <c r="CV131" s="966"/>
      <c r="CW131" s="966"/>
      <c r="CX131" s="966"/>
      <c r="CY131" s="982"/>
      <c r="CZ131" s="982"/>
      <c r="DA131" s="982"/>
      <c r="DB131" s="966"/>
      <c r="DC131" s="966"/>
      <c r="DD131" s="966"/>
      <c r="DE131" s="966"/>
      <c r="DF131" s="966"/>
      <c r="DG131" s="966"/>
      <c r="DH131" s="965"/>
      <c r="DI131" s="966"/>
      <c r="DJ131" s="966"/>
      <c r="DK131" s="966"/>
      <c r="DL131" s="982"/>
      <c r="DM131" s="982"/>
      <c r="DN131" s="982"/>
      <c r="DO131" s="966"/>
      <c r="DP131" s="966"/>
      <c r="DQ131" s="966"/>
      <c r="DR131" s="966"/>
      <c r="DS131" s="966"/>
      <c r="DT131" s="966"/>
      <c r="DU131" s="965"/>
      <c r="DV131" s="966"/>
      <c r="DW131" s="966"/>
      <c r="DX131" s="966"/>
      <c r="DY131" s="982"/>
      <c r="DZ131" s="982"/>
      <c r="EA131" s="982"/>
      <c r="EB131" s="966"/>
      <c r="EC131" s="966"/>
      <c r="ED131" s="966"/>
      <c r="EE131" s="966"/>
      <c r="EF131" s="966"/>
      <c r="EG131" s="966"/>
      <c r="EH131" s="965"/>
      <c r="EI131" s="966"/>
      <c r="EJ131" s="966"/>
      <c r="EK131" s="966"/>
      <c r="EL131" s="982"/>
      <c r="EM131" s="982"/>
      <c r="EN131" s="982"/>
      <c r="EO131" s="966"/>
      <c r="EP131" s="966"/>
      <c r="EQ131" s="966"/>
      <c r="ER131" s="966"/>
      <c r="ES131" s="966"/>
      <c r="ET131" s="966"/>
      <c r="EU131" s="965"/>
      <c r="EV131" s="966"/>
      <c r="EW131" s="966"/>
      <c r="EX131" s="966"/>
      <c r="EY131" s="982"/>
      <c r="EZ131" s="982"/>
      <c r="FA131" s="982"/>
      <c r="FB131" s="966"/>
      <c r="FC131" s="966"/>
      <c r="FD131" s="966"/>
      <c r="FE131" s="966"/>
      <c r="FF131" s="966"/>
      <c r="FG131" s="966"/>
      <c r="FH131" s="965"/>
      <c r="FI131" s="966"/>
      <c r="FJ131" s="966"/>
      <c r="FK131" s="966"/>
      <c r="FL131" s="982"/>
      <c r="FM131" s="982"/>
      <c r="FN131" s="982"/>
      <c r="FO131" s="966"/>
      <c r="FP131" s="966"/>
      <c r="FQ131" s="966"/>
      <c r="FR131" s="966"/>
      <c r="FS131" s="966"/>
      <c r="FT131" s="966"/>
      <c r="FU131" s="965"/>
      <c r="FV131" s="966"/>
      <c r="FW131" s="966"/>
      <c r="FX131" s="966"/>
      <c r="FY131" s="982"/>
      <c r="FZ131" s="982"/>
      <c r="GA131" s="982"/>
      <c r="GB131" s="966"/>
      <c r="GC131" s="966"/>
      <c r="GD131" s="966"/>
      <c r="GE131" s="966"/>
      <c r="GF131" s="966"/>
      <c r="GG131" s="966"/>
      <c r="GH131" s="965"/>
      <c r="GI131" s="966"/>
      <c r="GJ131" s="966"/>
      <c r="GK131" s="966"/>
      <c r="GL131" s="982"/>
      <c r="GM131" s="982"/>
      <c r="GN131" s="982"/>
      <c r="GO131" s="966"/>
      <c r="GP131" s="966"/>
      <c r="GQ131" s="966"/>
      <c r="GR131" s="966"/>
      <c r="GS131" s="966"/>
      <c r="GT131" s="966"/>
      <c r="GU131" s="965"/>
      <c r="GV131" s="966"/>
      <c r="GW131" s="966"/>
      <c r="GX131" s="966"/>
      <c r="GY131" s="982"/>
      <c r="GZ131" s="982"/>
      <c r="HA131" s="982"/>
      <c r="HB131" s="966"/>
      <c r="HC131" s="966"/>
      <c r="HD131" s="966"/>
      <c r="HE131" s="966"/>
      <c r="HF131" s="966"/>
      <c r="HG131" s="966"/>
      <c r="HH131" s="965"/>
      <c r="HI131" s="966"/>
      <c r="HJ131" s="966"/>
      <c r="HK131" s="966"/>
      <c r="HL131" s="982"/>
      <c r="HM131" s="982"/>
      <c r="HN131" s="982"/>
      <c r="HO131" s="966"/>
      <c r="HP131" s="966"/>
      <c r="HQ131" s="966"/>
      <c r="HR131" s="966"/>
      <c r="HS131" s="966"/>
      <c r="HT131" s="966"/>
      <c r="HU131" s="965"/>
      <c r="HV131" s="966"/>
      <c r="HW131" s="966"/>
      <c r="HX131" s="966"/>
      <c r="HY131" s="982"/>
      <c r="HZ131" s="982"/>
      <c r="IA131" s="982"/>
      <c r="IB131" s="966"/>
      <c r="IC131" s="966"/>
      <c r="ID131" s="966"/>
      <c r="IE131" s="966"/>
      <c r="IF131" s="966"/>
      <c r="IG131" s="966"/>
      <c r="IH131" s="965"/>
      <c r="II131" s="966"/>
      <c r="IJ131" s="966"/>
      <c r="IK131" s="966"/>
      <c r="IL131" s="982"/>
      <c r="IM131" s="982"/>
      <c r="IN131" s="982"/>
      <c r="IO131" s="966"/>
      <c r="IP131" s="966"/>
      <c r="IQ131" s="966"/>
      <c r="IR131" s="966"/>
      <c r="IS131" s="966"/>
      <c r="IT131" s="966"/>
      <c r="IU131" s="965"/>
      <c r="IV131" s="966"/>
      <c r="IW131" s="966"/>
      <c r="IX131" s="966"/>
      <c r="IY131" s="982"/>
      <c r="IZ131" s="982"/>
      <c r="JA131" s="982"/>
      <c r="JB131" s="966"/>
      <c r="JC131" s="966"/>
      <c r="JD131" s="966"/>
      <c r="JE131" s="966"/>
      <c r="JF131" s="966"/>
      <c r="JG131" s="966"/>
      <c r="JH131" s="965"/>
      <c r="JI131" s="966"/>
      <c r="JJ131" s="966"/>
      <c r="JK131" s="966"/>
      <c r="JL131" s="982"/>
      <c r="JM131" s="982"/>
      <c r="JN131" s="982"/>
      <c r="JO131" s="966"/>
      <c r="JP131" s="966"/>
      <c r="JQ131" s="966"/>
      <c r="JR131" s="966"/>
      <c r="JS131" s="966"/>
      <c r="JT131" s="966"/>
      <c r="JU131" s="965"/>
      <c r="JV131" s="966"/>
      <c r="JW131" s="966"/>
      <c r="JX131" s="966"/>
      <c r="JY131" s="982"/>
      <c r="JZ131" s="982"/>
      <c r="KA131" s="982"/>
      <c r="KB131" s="966"/>
      <c r="KC131" s="966"/>
      <c r="KD131" s="966"/>
      <c r="KE131" s="966"/>
      <c r="KF131" s="966"/>
      <c r="KG131" s="966"/>
      <c r="KH131" s="965"/>
      <c r="KI131" s="966"/>
      <c r="KJ131" s="966"/>
      <c r="KK131" s="966"/>
      <c r="KL131" s="982"/>
      <c r="KM131" s="982"/>
      <c r="KN131" s="982"/>
      <c r="KO131" s="966"/>
      <c r="KP131" s="966"/>
      <c r="KQ131" s="966"/>
      <c r="KR131" s="966"/>
      <c r="KS131" s="966"/>
      <c r="KT131" s="966"/>
      <c r="KU131" s="965"/>
      <c r="KV131" s="966"/>
      <c r="KW131" s="966"/>
      <c r="KX131" s="966"/>
      <c r="KY131" s="982"/>
      <c r="KZ131" s="982"/>
      <c r="LA131" s="982"/>
      <c r="LB131" s="966"/>
      <c r="LC131" s="966"/>
      <c r="LD131" s="966"/>
      <c r="LE131" s="966"/>
      <c r="LF131" s="966"/>
      <c r="LG131" s="966"/>
      <c r="LH131" s="965"/>
      <c r="LI131" s="966"/>
      <c r="LJ131" s="966"/>
      <c r="LK131" s="966"/>
      <c r="LL131" s="982"/>
      <c r="LM131" s="982"/>
      <c r="LN131" s="982"/>
      <c r="LO131" s="966"/>
      <c r="LP131" s="966"/>
      <c r="LQ131" s="966"/>
      <c r="LR131" s="966"/>
      <c r="LS131" s="966"/>
      <c r="LT131" s="966"/>
      <c r="LU131" s="965"/>
      <c r="LV131" s="966"/>
      <c r="LW131" s="966"/>
      <c r="LX131" s="966"/>
      <c r="LY131" s="982"/>
      <c r="LZ131" s="982"/>
      <c r="MA131" s="982"/>
      <c r="MB131" s="966"/>
      <c r="MC131" s="966"/>
      <c r="MD131" s="966"/>
      <c r="ME131" s="966"/>
      <c r="MF131" s="966"/>
      <c r="MG131" s="966"/>
    </row>
    <row r="132" spans="2:345" ht="22.5" customHeight="1" thickTop="1" thickBot="1">
      <c r="I132" s="962"/>
      <c r="J132" s="962"/>
      <c r="K132" s="962"/>
      <c r="L132" s="872" t="str">
        <f>Language!$E$208</f>
        <v>Totaal:</v>
      </c>
      <c r="M132" s="873"/>
      <c r="N132" s="874"/>
      <c r="O132" s="866">
        <f>SUM(O131:T131)</f>
        <v>0</v>
      </c>
      <c r="P132" s="867"/>
      <c r="Q132" s="867"/>
      <c r="R132" s="867"/>
      <c r="S132" s="867"/>
      <c r="T132" s="998"/>
      <c r="U132" s="965"/>
      <c r="V132" s="966"/>
      <c r="W132" s="966"/>
      <c r="X132" s="966"/>
      <c r="Y132" s="983"/>
      <c r="Z132" s="983"/>
      <c r="AA132" s="983"/>
      <c r="AB132" s="984"/>
      <c r="AC132" s="984"/>
      <c r="AD132" s="984"/>
      <c r="AE132" s="984"/>
      <c r="AF132" s="984"/>
      <c r="AG132" s="984"/>
      <c r="AH132" s="965"/>
      <c r="AI132" s="966"/>
      <c r="AJ132" s="966"/>
      <c r="AK132" s="966"/>
      <c r="AL132" s="983"/>
      <c r="AM132" s="983"/>
      <c r="AN132" s="983"/>
      <c r="AO132" s="984"/>
      <c r="AP132" s="984"/>
      <c r="AQ132" s="984"/>
      <c r="AR132" s="984"/>
      <c r="AS132" s="984"/>
      <c r="AT132" s="984"/>
      <c r="AU132" s="965"/>
      <c r="AV132" s="966"/>
      <c r="AW132" s="966"/>
      <c r="AX132" s="966"/>
      <c r="AY132" s="983"/>
      <c r="AZ132" s="983"/>
      <c r="BA132" s="983"/>
      <c r="BB132" s="984"/>
      <c r="BC132" s="984"/>
      <c r="BD132" s="984"/>
      <c r="BE132" s="984"/>
      <c r="BF132" s="984"/>
      <c r="BG132" s="984"/>
      <c r="BH132" s="965"/>
      <c r="BI132" s="966"/>
      <c r="BJ132" s="966"/>
      <c r="BK132" s="966"/>
      <c r="BL132" s="983"/>
      <c r="BM132" s="983"/>
      <c r="BN132" s="983"/>
      <c r="BO132" s="984"/>
      <c r="BP132" s="984"/>
      <c r="BQ132" s="984"/>
      <c r="BR132" s="984"/>
      <c r="BS132" s="984"/>
      <c r="BT132" s="984"/>
      <c r="BU132" s="965"/>
      <c r="BV132" s="966"/>
      <c r="BW132" s="966"/>
      <c r="BX132" s="966"/>
      <c r="BY132" s="983"/>
      <c r="BZ132" s="983"/>
      <c r="CA132" s="983"/>
      <c r="CB132" s="984"/>
      <c r="CC132" s="984"/>
      <c r="CD132" s="984"/>
      <c r="CE132" s="984"/>
      <c r="CF132" s="984"/>
      <c r="CG132" s="984"/>
      <c r="CH132" s="965"/>
      <c r="CI132" s="966"/>
      <c r="CJ132" s="966"/>
      <c r="CK132" s="966"/>
      <c r="CL132" s="983"/>
      <c r="CM132" s="983"/>
      <c r="CN132" s="983"/>
      <c r="CO132" s="984"/>
      <c r="CP132" s="984"/>
      <c r="CQ132" s="984"/>
      <c r="CR132" s="984"/>
      <c r="CS132" s="984"/>
      <c r="CT132" s="984"/>
      <c r="CU132" s="965"/>
      <c r="CV132" s="966"/>
      <c r="CW132" s="966"/>
      <c r="CX132" s="966"/>
      <c r="CY132" s="983"/>
      <c r="CZ132" s="983"/>
      <c r="DA132" s="983"/>
      <c r="DB132" s="984"/>
      <c r="DC132" s="984"/>
      <c r="DD132" s="984"/>
      <c r="DE132" s="984"/>
      <c r="DF132" s="984"/>
      <c r="DG132" s="984"/>
      <c r="DH132" s="965"/>
      <c r="DI132" s="966"/>
      <c r="DJ132" s="966"/>
      <c r="DK132" s="966"/>
      <c r="DL132" s="983"/>
      <c r="DM132" s="983"/>
      <c r="DN132" s="983"/>
      <c r="DO132" s="984"/>
      <c r="DP132" s="984"/>
      <c r="DQ132" s="984"/>
      <c r="DR132" s="984"/>
      <c r="DS132" s="984"/>
      <c r="DT132" s="984"/>
      <c r="DU132" s="965"/>
      <c r="DV132" s="966"/>
      <c r="DW132" s="966"/>
      <c r="DX132" s="966"/>
      <c r="DY132" s="983"/>
      <c r="DZ132" s="983"/>
      <c r="EA132" s="983"/>
      <c r="EB132" s="984"/>
      <c r="EC132" s="984"/>
      <c r="ED132" s="984"/>
      <c r="EE132" s="984"/>
      <c r="EF132" s="984"/>
      <c r="EG132" s="984"/>
      <c r="EH132" s="965"/>
      <c r="EI132" s="966"/>
      <c r="EJ132" s="966"/>
      <c r="EK132" s="966"/>
      <c r="EL132" s="983"/>
      <c r="EM132" s="983"/>
      <c r="EN132" s="983"/>
      <c r="EO132" s="984"/>
      <c r="EP132" s="984"/>
      <c r="EQ132" s="984"/>
      <c r="ER132" s="984"/>
      <c r="ES132" s="984"/>
      <c r="ET132" s="984"/>
      <c r="EU132" s="965"/>
      <c r="EV132" s="966"/>
      <c r="EW132" s="966"/>
      <c r="EX132" s="966"/>
      <c r="EY132" s="983"/>
      <c r="EZ132" s="983"/>
      <c r="FA132" s="983"/>
      <c r="FB132" s="984"/>
      <c r="FC132" s="984"/>
      <c r="FD132" s="984"/>
      <c r="FE132" s="984"/>
      <c r="FF132" s="984"/>
      <c r="FG132" s="984"/>
      <c r="FH132" s="965"/>
      <c r="FI132" s="966"/>
      <c r="FJ132" s="966"/>
      <c r="FK132" s="966"/>
      <c r="FL132" s="983"/>
      <c r="FM132" s="983"/>
      <c r="FN132" s="983"/>
      <c r="FO132" s="984"/>
      <c r="FP132" s="984"/>
      <c r="FQ132" s="984"/>
      <c r="FR132" s="984"/>
      <c r="FS132" s="984"/>
      <c r="FT132" s="984"/>
      <c r="FU132" s="965"/>
      <c r="FV132" s="966"/>
      <c r="FW132" s="966"/>
      <c r="FX132" s="966"/>
      <c r="FY132" s="983"/>
      <c r="FZ132" s="983"/>
      <c r="GA132" s="983"/>
      <c r="GB132" s="984"/>
      <c r="GC132" s="984"/>
      <c r="GD132" s="984"/>
      <c r="GE132" s="984"/>
      <c r="GF132" s="984"/>
      <c r="GG132" s="984"/>
      <c r="GH132" s="965"/>
      <c r="GI132" s="966"/>
      <c r="GJ132" s="966"/>
      <c r="GK132" s="966"/>
      <c r="GL132" s="983"/>
      <c r="GM132" s="983"/>
      <c r="GN132" s="983"/>
      <c r="GO132" s="984"/>
      <c r="GP132" s="984"/>
      <c r="GQ132" s="984"/>
      <c r="GR132" s="984"/>
      <c r="GS132" s="984"/>
      <c r="GT132" s="984"/>
      <c r="GU132" s="965"/>
      <c r="GV132" s="966"/>
      <c r="GW132" s="966"/>
      <c r="GX132" s="966"/>
      <c r="GY132" s="983"/>
      <c r="GZ132" s="983"/>
      <c r="HA132" s="983"/>
      <c r="HB132" s="984"/>
      <c r="HC132" s="984"/>
      <c r="HD132" s="984"/>
      <c r="HE132" s="984"/>
      <c r="HF132" s="984"/>
      <c r="HG132" s="984"/>
      <c r="HH132" s="965"/>
      <c r="HI132" s="966"/>
      <c r="HJ132" s="966"/>
      <c r="HK132" s="966"/>
      <c r="HL132" s="983"/>
      <c r="HM132" s="983"/>
      <c r="HN132" s="983"/>
      <c r="HO132" s="984"/>
      <c r="HP132" s="984"/>
      <c r="HQ132" s="984"/>
      <c r="HR132" s="984"/>
      <c r="HS132" s="984"/>
      <c r="HT132" s="984"/>
      <c r="HU132" s="965"/>
      <c r="HV132" s="966"/>
      <c r="HW132" s="966"/>
      <c r="HX132" s="966"/>
      <c r="HY132" s="983"/>
      <c r="HZ132" s="983"/>
      <c r="IA132" s="983"/>
      <c r="IB132" s="984"/>
      <c r="IC132" s="984"/>
      <c r="ID132" s="984"/>
      <c r="IE132" s="984"/>
      <c r="IF132" s="984"/>
      <c r="IG132" s="984"/>
      <c r="IH132" s="965"/>
      <c r="II132" s="966"/>
      <c r="IJ132" s="966"/>
      <c r="IK132" s="966"/>
      <c r="IL132" s="983"/>
      <c r="IM132" s="983"/>
      <c r="IN132" s="983"/>
      <c r="IO132" s="984"/>
      <c r="IP132" s="984"/>
      <c r="IQ132" s="984"/>
      <c r="IR132" s="984"/>
      <c r="IS132" s="984"/>
      <c r="IT132" s="984"/>
      <c r="IU132" s="965"/>
      <c r="IV132" s="966"/>
      <c r="IW132" s="966"/>
      <c r="IX132" s="966"/>
      <c r="IY132" s="983"/>
      <c r="IZ132" s="983"/>
      <c r="JA132" s="983"/>
      <c r="JB132" s="984"/>
      <c r="JC132" s="984"/>
      <c r="JD132" s="984"/>
      <c r="JE132" s="984"/>
      <c r="JF132" s="984"/>
      <c r="JG132" s="984"/>
      <c r="JH132" s="965"/>
      <c r="JI132" s="966"/>
      <c r="JJ132" s="966"/>
      <c r="JK132" s="966"/>
      <c r="JL132" s="983"/>
      <c r="JM132" s="983"/>
      <c r="JN132" s="983"/>
      <c r="JO132" s="984"/>
      <c r="JP132" s="984"/>
      <c r="JQ132" s="984"/>
      <c r="JR132" s="984"/>
      <c r="JS132" s="984"/>
      <c r="JT132" s="984"/>
      <c r="JU132" s="965"/>
      <c r="JV132" s="966"/>
      <c r="JW132" s="966"/>
      <c r="JX132" s="966"/>
      <c r="JY132" s="983"/>
      <c r="JZ132" s="983"/>
      <c r="KA132" s="983"/>
      <c r="KB132" s="984"/>
      <c r="KC132" s="984"/>
      <c r="KD132" s="984"/>
      <c r="KE132" s="984"/>
      <c r="KF132" s="984"/>
      <c r="KG132" s="984"/>
      <c r="KH132" s="965"/>
      <c r="KI132" s="966"/>
      <c r="KJ132" s="966"/>
      <c r="KK132" s="966"/>
      <c r="KL132" s="983"/>
      <c r="KM132" s="983"/>
      <c r="KN132" s="983"/>
      <c r="KO132" s="984"/>
      <c r="KP132" s="984"/>
      <c r="KQ132" s="984"/>
      <c r="KR132" s="984"/>
      <c r="KS132" s="984"/>
      <c r="KT132" s="984"/>
      <c r="KU132" s="965"/>
      <c r="KV132" s="966"/>
      <c r="KW132" s="966"/>
      <c r="KX132" s="966"/>
      <c r="KY132" s="983"/>
      <c r="KZ132" s="983"/>
      <c r="LA132" s="983"/>
      <c r="LB132" s="984"/>
      <c r="LC132" s="984"/>
      <c r="LD132" s="984"/>
      <c r="LE132" s="984"/>
      <c r="LF132" s="984"/>
      <c r="LG132" s="984"/>
      <c r="LH132" s="965"/>
      <c r="LI132" s="966"/>
      <c r="LJ132" s="966"/>
      <c r="LK132" s="966"/>
      <c r="LL132" s="983"/>
      <c r="LM132" s="983"/>
      <c r="LN132" s="983"/>
      <c r="LO132" s="984"/>
      <c r="LP132" s="984"/>
      <c r="LQ132" s="984"/>
      <c r="LR132" s="984"/>
      <c r="LS132" s="984"/>
      <c r="LT132" s="984"/>
      <c r="LU132" s="965"/>
      <c r="LV132" s="966"/>
      <c r="LW132" s="966"/>
      <c r="LX132" s="966"/>
      <c r="LY132" s="983"/>
      <c r="LZ132" s="983"/>
      <c r="MA132" s="983"/>
      <c r="MB132" s="984"/>
      <c r="MC132" s="984"/>
      <c r="MD132" s="984"/>
      <c r="ME132" s="984"/>
      <c r="MF132" s="984"/>
      <c r="MG132" s="984"/>
    </row>
    <row r="133" spans="2:345" ht="30.75" customHeight="1" thickTop="1">
      <c r="B133" s="959"/>
      <c r="C133" s="960"/>
      <c r="D133" s="960"/>
      <c r="E133" s="960"/>
      <c r="F133" s="961"/>
      <c r="G133" s="961"/>
      <c r="H133" s="962"/>
    </row>
    <row r="134" spans="2:345">
      <c r="B134" s="963"/>
      <c r="C134" s="963"/>
      <c r="D134" s="963"/>
      <c r="E134" s="963"/>
      <c r="F134" s="963"/>
      <c r="G134" s="963"/>
      <c r="H134" s="963"/>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c r="B135" s="964"/>
      <c r="C135" s="964"/>
      <c r="D135" s="964"/>
      <c r="E135" s="964"/>
      <c r="F135" s="964"/>
      <c r="G135" s="964"/>
      <c r="H135" s="964"/>
      <c r="I135" s="958"/>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c r="B136" s="964"/>
      <c r="C136" s="964"/>
      <c r="D136" s="964"/>
      <c r="E136" s="964"/>
      <c r="F136" s="964"/>
      <c r="G136" s="964"/>
      <c r="H136" s="964"/>
      <c r="I136" s="958"/>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c r="B137" s="964"/>
      <c r="C137" s="964"/>
      <c r="D137" s="964"/>
      <c r="E137" s="964"/>
      <c r="F137" s="964"/>
      <c r="G137" s="964"/>
      <c r="H137" s="964"/>
      <c r="I137" s="958"/>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c r="B138" s="964"/>
      <c r="C138" s="964"/>
      <c r="D138" s="964"/>
      <c r="E138" s="964"/>
      <c r="F138" s="964"/>
      <c r="G138" s="964"/>
      <c r="H138" s="964"/>
      <c r="I138" s="958"/>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c r="B139" s="964"/>
      <c r="C139" s="964"/>
      <c r="D139" s="964"/>
      <c r="E139" s="964"/>
      <c r="F139" s="964"/>
      <c r="G139" s="964"/>
      <c r="H139" s="964"/>
      <c r="I139" s="958"/>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c r="B140" s="964"/>
      <c r="C140" s="964"/>
      <c r="D140" s="964"/>
      <c r="E140" s="964"/>
      <c r="F140" s="964"/>
      <c r="G140" s="964"/>
      <c r="H140" s="964"/>
      <c r="I140" s="958"/>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c r="B141" s="964"/>
      <c r="C141" s="964"/>
      <c r="D141" s="964"/>
      <c r="E141" s="964"/>
      <c r="F141" s="964"/>
      <c r="G141" s="964"/>
      <c r="H141" s="964"/>
    </row>
    <row r="142" spans="2:345">
      <c r="B142" s="964"/>
      <c r="C142" s="964"/>
      <c r="D142" s="964"/>
      <c r="E142" s="964"/>
      <c r="F142" s="964"/>
      <c r="G142" s="964"/>
      <c r="H142" s="964"/>
    </row>
    <row r="143" spans="2:345">
      <c r="B143" s="964"/>
      <c r="C143" s="964"/>
      <c r="D143" s="964"/>
      <c r="E143" s="964"/>
      <c r="F143" s="964"/>
      <c r="G143" s="964"/>
      <c r="H143" s="964"/>
    </row>
    <row r="144" spans="2:345">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4.5" zeroHeight="1"/>
  <cols>
    <col min="1" max="1" width="11.453125" customWidth="1"/>
    <col min="2" max="2" width="6.26953125" style="26" customWidth="1"/>
    <col min="3" max="3" width="21" style="40" customWidth="1"/>
    <col min="4" max="5" width="11.453125" customWidth="1"/>
    <col min="6" max="6" width="3.26953125" hidden="1" customWidth="1"/>
    <col min="7" max="7" width="11.453125" hidden="1" customWidth="1"/>
    <col min="8" max="8" width="21" hidden="1" customWidth="1"/>
    <col min="9" max="10" width="11.453125" hidden="1" customWidth="1"/>
    <col min="11" max="11" width="8" hidden="1" customWidth="1"/>
    <col min="12" max="12" width="18.1796875" hidden="1" customWidth="1"/>
    <col min="13" max="13" width="5.54296875" hidden="1" customWidth="1"/>
    <col min="14" max="16384" width="11.453125" hidden="1"/>
  </cols>
  <sheetData>
    <row r="1" spans="2:13" ht="23.5">
      <c r="B1" s="878" t="str">
        <f>Language!$E$127</f>
        <v xml:space="preserve">Voorspellingsklassificatie </v>
      </c>
      <c r="C1" s="878"/>
      <c r="D1" s="878"/>
    </row>
    <row r="2" spans="2:13" ht="15" thickBot="1"/>
    <row r="3" spans="2:13" ht="15.5" thickTop="1" thickBot="1">
      <c r="B3" s="269"/>
      <c r="C3" s="270" t="str">
        <f>Language!$E$176</f>
        <v>Naam</v>
      </c>
      <c r="D3" s="271" t="str">
        <f>Language!$E$135</f>
        <v>Totaal</v>
      </c>
      <c r="E3" s="272"/>
      <c r="F3" s="272"/>
      <c r="G3" s="273" t="s">
        <v>638</v>
      </c>
      <c r="H3" s="274" t="s">
        <v>403</v>
      </c>
      <c r="I3" s="271" t="s">
        <v>192</v>
      </c>
      <c r="J3" s="275" t="s">
        <v>638</v>
      </c>
      <c r="L3" s="19" t="s">
        <v>697</v>
      </c>
      <c r="M3">
        <v>9</v>
      </c>
    </row>
    <row r="4" spans="2:13">
      <c r="B4" s="276">
        <v>1</v>
      </c>
      <c r="C4" s="277" t="str">
        <f>IFERROR(VLOOKUP(B4,$G$4:$H$103,2,0),"")</f>
        <v>Naam</v>
      </c>
      <c r="D4" s="278">
        <f>IFERROR(VLOOKUP(B4,$G$4:$I$103,3,0),"")</f>
        <v>0</v>
      </c>
      <c r="E4" s="26"/>
      <c r="F4" s="26"/>
      <c r="G4" s="279">
        <f t="shared" ref="G4:G35" si="0">IF(J4="","",RANK(J4,$J$4:$J$103,1))</f>
        <v>1</v>
      </c>
      <c r="H4" s="304" t="str">
        <f>IF(INDEX(Predictions!$A$2:$AWV$3,2,$M$3+(ROW(A1)-1)*$M$4)="","",INDEX(Predictions!$A$2:$AWV$3,2,$M$3+(ROW(A1)-1)*$M$4))</f>
        <v>Naam</v>
      </c>
      <c r="I4" s="305">
        <f>IF(INDEX(Predictions!$A$2:$AWV$3,2,$M$3+(ROW(A1)-1)*$M$4)="","",INDEX(Predictions!$A$2:$AWV$3,1,$M$3+(ROW(A1)-1)*$M$4))</f>
        <v>0</v>
      </c>
      <c r="J4" s="279">
        <f t="shared" ref="J4:J35" si="1">IF(I4="","",RANK(I4,$I$4:$I$103,0)+ROW()*0.001)</f>
        <v>1.004</v>
      </c>
      <c r="L4" t="s">
        <v>698</v>
      </c>
      <c r="M4">
        <v>13</v>
      </c>
    </row>
    <row r="5" spans="2:13">
      <c r="B5" s="280">
        <v>2</v>
      </c>
      <c r="C5" s="277" t="str">
        <f t="shared" ref="C5:C68" si="2">IFERROR(VLOOKUP(B5,$G$4:$H$103,2,0),"")</f>
        <v/>
      </c>
      <c r="D5" s="278" t="str">
        <f t="shared" ref="D5:D68" si="3">IFERROR(VLOOKUP(B5,$G$4:$I$103,3,0),"")</f>
        <v/>
      </c>
      <c r="E5" s="26"/>
      <c r="F5" s="26"/>
      <c r="G5" s="281" t="str">
        <f t="shared" si="0"/>
        <v/>
      </c>
      <c r="H5" s="282" t="str">
        <f>IF(INDEX(Predictions!$A$2:$AWV$3,2,$M$3+(ROW(A2)-1)*$M$4)="","",INDEX(Predictions!$A$2:$AWV$3,2,$M$3+(ROW(A2)-1)*$M$4))</f>
        <v/>
      </c>
      <c r="I5" s="283" t="str">
        <f>IF(INDEX(Predictions!$A$2:$AWV$3,2,$M$3+(ROW(A2)-1)*$M$4)="","",INDEX(Predictions!$A$2:$AWV$3,1,$M$3+(ROW(A2)-1)*$M$4))</f>
        <v/>
      </c>
      <c r="J5" s="281" t="str">
        <f t="shared" si="1"/>
        <v/>
      </c>
    </row>
    <row r="6" spans="2:13">
      <c r="B6" s="276">
        <v>3</v>
      </c>
      <c r="C6" s="277" t="str">
        <f t="shared" si="2"/>
        <v/>
      </c>
      <c r="D6" s="278" t="str">
        <f t="shared" si="3"/>
        <v/>
      </c>
      <c r="E6" s="26"/>
      <c r="F6" s="26"/>
      <c r="G6" s="281" t="str">
        <f t="shared" si="0"/>
        <v/>
      </c>
      <c r="H6" s="282" t="str">
        <f>IF(INDEX(Predictions!$A$2:$AWV$3,2,$M$3+(ROW(A3)-1)*$M$4)="","",INDEX(Predictions!$A$2:$AWV$3,2,$M$3+(ROW(A3)-1)*$M$4))</f>
        <v/>
      </c>
      <c r="I6" s="283" t="str">
        <f>IF(INDEX(Predictions!$A$2:$AWV$3,2,$M$3+(ROW(A3)-1)*$M$4)="","",INDEX(Predictions!$A$2:$AWV$3,1,$M$3+(ROW(A3)-1)*$M$4))</f>
        <v/>
      </c>
      <c r="J6" s="281" t="str">
        <f t="shared" si="1"/>
        <v/>
      </c>
    </row>
    <row r="7" spans="2:13">
      <c r="B7" s="280">
        <v>4</v>
      </c>
      <c r="C7" s="277" t="str">
        <f t="shared" si="2"/>
        <v/>
      </c>
      <c r="D7" s="278" t="str">
        <f t="shared" si="3"/>
        <v/>
      </c>
      <c r="E7" s="26"/>
      <c r="F7" s="26"/>
      <c r="G7" s="281" t="str">
        <f t="shared" si="0"/>
        <v/>
      </c>
      <c r="H7" s="282" t="str">
        <f>IF(INDEX(Predictions!$A$2:$AWV$3,2,$M$3+(ROW(A4)-1)*$M$4)="","",INDEX(Predictions!$A$2:$AWV$3,2,$M$3+(ROW(A4)-1)*$M$4))</f>
        <v/>
      </c>
      <c r="I7" s="283" t="str">
        <f>IF(INDEX(Predictions!$A$2:$AWV$3,2,$M$3+(ROW(A4)-1)*$M$4)="","",INDEX(Predictions!$A$2:$AWV$3,1,$M$3+(ROW(A4)-1)*$M$4))</f>
        <v/>
      </c>
      <c r="J7" s="281" t="str">
        <f t="shared" si="1"/>
        <v/>
      </c>
    </row>
    <row r="8" spans="2:13">
      <c r="B8" s="276">
        <v>5</v>
      </c>
      <c r="C8" s="277" t="str">
        <f t="shared" si="2"/>
        <v/>
      </c>
      <c r="D8" s="278" t="str">
        <f t="shared" si="3"/>
        <v/>
      </c>
      <c r="E8" s="26"/>
      <c r="F8" s="26"/>
      <c r="G8" s="281" t="str">
        <f t="shared" si="0"/>
        <v/>
      </c>
      <c r="H8" s="282" t="str">
        <f>IF(INDEX(Predictions!$A$2:$AWV$3,2,$M$3+(ROW(A5)-1)*$M$4)="","",INDEX(Predictions!$A$2:$AWV$3,2,$M$3+(ROW(A5)-1)*$M$4))</f>
        <v/>
      </c>
      <c r="I8" s="283" t="str">
        <f>IF(INDEX(Predictions!$A$2:$AWV$3,2,$M$3+(ROW(A5)-1)*$M$4)="","",INDEX(Predictions!$A$2:$AWV$3,1,$M$3+(ROW(A5)-1)*$M$4))</f>
        <v/>
      </c>
      <c r="J8" s="281" t="str">
        <f t="shared" si="1"/>
        <v/>
      </c>
    </row>
    <row r="9" spans="2:13">
      <c r="B9" s="280">
        <v>6</v>
      </c>
      <c r="C9" s="277" t="str">
        <f t="shared" si="2"/>
        <v/>
      </c>
      <c r="D9" s="278" t="str">
        <f t="shared" si="3"/>
        <v/>
      </c>
      <c r="E9" s="26"/>
      <c r="F9" s="26"/>
      <c r="G9" s="281" t="str">
        <f t="shared" si="0"/>
        <v/>
      </c>
      <c r="H9" s="282" t="str">
        <f>IF(INDEX(Predictions!$A$2:$AWV$3,2,$M$3+(ROW(A6)-1)*$M$4)="","",INDEX(Predictions!$A$2:$AWV$3,2,$M$3+(ROW(A6)-1)*$M$4))</f>
        <v/>
      </c>
      <c r="I9" s="283" t="str">
        <f>IF(INDEX(Predictions!$A$2:$AWV$3,2,$M$3+(ROW(A6)-1)*$M$4)="","",INDEX(Predictions!$A$2:$AWV$3,1,$M$3+(ROW(A6)-1)*$M$4))</f>
        <v/>
      </c>
      <c r="J9" s="281" t="str">
        <f t="shared" si="1"/>
        <v/>
      </c>
    </row>
    <row r="10" spans="2:13">
      <c r="B10" s="276">
        <v>7</v>
      </c>
      <c r="C10" s="277" t="str">
        <f t="shared" si="2"/>
        <v/>
      </c>
      <c r="D10" s="278" t="str">
        <f t="shared" si="3"/>
        <v/>
      </c>
      <c r="E10" s="26"/>
      <c r="F10" s="26"/>
      <c r="G10" s="281" t="str">
        <f t="shared" si="0"/>
        <v/>
      </c>
      <c r="H10" s="282" t="str">
        <f>IF(INDEX(Predictions!$A$2:$AWV$3,2,$M$3+(ROW(A7)-1)*$M$4)="","",INDEX(Predictions!$A$2:$AWV$3,2,$M$3+(ROW(A7)-1)*$M$4))</f>
        <v/>
      </c>
      <c r="I10" s="283" t="str">
        <f>IF(INDEX(Predictions!$A$2:$AWV$3,2,$M$3+(ROW(A7)-1)*$M$4)="","",INDEX(Predictions!$A$2:$AWV$3,1,$M$3+(ROW(A7)-1)*$M$4))</f>
        <v/>
      </c>
      <c r="J10" s="281" t="str">
        <f t="shared" si="1"/>
        <v/>
      </c>
    </row>
    <row r="11" spans="2:13">
      <c r="B11" s="280">
        <v>8</v>
      </c>
      <c r="C11" s="277" t="str">
        <f t="shared" si="2"/>
        <v/>
      </c>
      <c r="D11" s="278" t="str">
        <f t="shared" si="3"/>
        <v/>
      </c>
      <c r="E11" s="26"/>
      <c r="F11" s="26"/>
      <c r="G11" s="281" t="str">
        <f t="shared" si="0"/>
        <v/>
      </c>
      <c r="H11" s="282" t="str">
        <f>IF(INDEX(Predictions!$A$2:$AWV$3,2,$M$3+(ROW(A8)-1)*$M$4)="","",INDEX(Predictions!$A$2:$AWV$3,2,$M$3+(ROW(A8)-1)*$M$4))</f>
        <v/>
      </c>
      <c r="I11" s="283" t="str">
        <f>IF(INDEX(Predictions!$A$2:$AWV$3,2,$M$3+(ROW(A8)-1)*$M$4)="","",INDEX(Predictions!$A$2:$AWV$3,1,$M$3+(ROW(A8)-1)*$M$4))</f>
        <v/>
      </c>
      <c r="J11" s="281" t="str">
        <f t="shared" si="1"/>
        <v/>
      </c>
    </row>
    <row r="12" spans="2:13">
      <c r="B12" s="276">
        <v>9</v>
      </c>
      <c r="C12" s="277" t="str">
        <f t="shared" si="2"/>
        <v/>
      </c>
      <c r="D12" s="278" t="str">
        <f t="shared" si="3"/>
        <v/>
      </c>
      <c r="E12" s="26"/>
      <c r="F12" s="26"/>
      <c r="G12" s="281" t="str">
        <f t="shared" si="0"/>
        <v/>
      </c>
      <c r="H12" s="282" t="str">
        <f>IF(INDEX(Predictions!$A$2:$AWV$3,2,$M$3+(ROW(A9)-1)*$M$4)="","",INDEX(Predictions!$A$2:$AWV$3,2,$M$3+(ROW(A9)-1)*$M$4))</f>
        <v/>
      </c>
      <c r="I12" s="283" t="str">
        <f>IF(INDEX(Predictions!$A$2:$AWV$3,2,$M$3+(ROW(A9)-1)*$M$4)="","",INDEX(Predictions!$A$2:$AWV$3,1,$M$3+(ROW(A9)-1)*$M$4))</f>
        <v/>
      </c>
      <c r="J12" s="281" t="str">
        <f t="shared" si="1"/>
        <v/>
      </c>
    </row>
    <row r="13" spans="2:13">
      <c r="B13" s="280">
        <v>10</v>
      </c>
      <c r="C13" s="277" t="str">
        <f t="shared" si="2"/>
        <v/>
      </c>
      <c r="D13" s="278" t="str">
        <f t="shared" si="3"/>
        <v/>
      </c>
      <c r="E13" s="26"/>
      <c r="F13" s="26"/>
      <c r="G13" s="281" t="str">
        <f t="shared" si="0"/>
        <v/>
      </c>
      <c r="H13" s="282" t="str">
        <f>IF(INDEX(Predictions!$A$2:$AWV$3,2,$M$3+(ROW(A10)-1)*$M$4)="","",INDEX(Predictions!$A$2:$AWV$3,2,$M$3+(ROW(A10)-1)*$M$4))</f>
        <v/>
      </c>
      <c r="I13" s="283" t="str">
        <f>IF(INDEX(Predictions!$A$2:$AWV$3,2,$M$3+(ROW(A10)-1)*$M$4)="","",INDEX(Predictions!$A$2:$AWV$3,1,$M$3+(ROW(A10)-1)*$M$4))</f>
        <v/>
      </c>
      <c r="J13" s="281" t="str">
        <f t="shared" si="1"/>
        <v/>
      </c>
    </row>
    <row r="14" spans="2:13">
      <c r="B14" s="276">
        <v>11</v>
      </c>
      <c r="C14" s="277" t="str">
        <f t="shared" si="2"/>
        <v/>
      </c>
      <c r="D14" s="278" t="str">
        <f t="shared" si="3"/>
        <v/>
      </c>
      <c r="E14" s="26"/>
      <c r="F14" s="26"/>
      <c r="G14" s="281" t="str">
        <f t="shared" si="0"/>
        <v/>
      </c>
      <c r="H14" s="282" t="str">
        <f>IF(INDEX(Predictions!$A$2:$AWV$3,2,$M$3+(ROW(A11)-1)*$M$4)="","",INDEX(Predictions!$A$2:$AWV$3,2,$M$3+(ROW(A11)-1)*$M$4))</f>
        <v/>
      </c>
      <c r="I14" s="283" t="str">
        <f>IF(INDEX(Predictions!$A$2:$AWV$3,2,$M$3+(ROW(A11)-1)*$M$4)="","",INDEX(Predictions!$A$2:$AWV$3,1,$M$3+(ROW(A11)-1)*$M$4))</f>
        <v/>
      </c>
      <c r="J14" s="281" t="str">
        <f t="shared" si="1"/>
        <v/>
      </c>
    </row>
    <row r="15" spans="2:13">
      <c r="B15" s="280">
        <v>12</v>
      </c>
      <c r="C15" s="277" t="str">
        <f t="shared" si="2"/>
        <v/>
      </c>
      <c r="D15" s="278" t="str">
        <f t="shared" si="3"/>
        <v/>
      </c>
      <c r="E15" s="26"/>
      <c r="F15" s="26"/>
      <c r="G15" s="281" t="str">
        <f t="shared" si="0"/>
        <v/>
      </c>
      <c r="H15" s="282" t="str">
        <f>IF(INDEX(Predictions!$A$2:$AWV$3,2,$M$3+(ROW(A12)-1)*$M$4)="","",INDEX(Predictions!$A$2:$AWV$3,2,$M$3+(ROW(A12)-1)*$M$4))</f>
        <v/>
      </c>
      <c r="I15" s="283" t="str">
        <f>IF(INDEX(Predictions!$A$2:$AWV$3,2,$M$3+(ROW(A12)-1)*$M$4)="","",INDEX(Predictions!$A$2:$AWV$3,1,$M$3+(ROW(A12)-1)*$M$4))</f>
        <v/>
      </c>
      <c r="J15" s="281" t="str">
        <f t="shared" si="1"/>
        <v/>
      </c>
    </row>
    <row r="16" spans="2:13">
      <c r="B16" s="276">
        <v>13</v>
      </c>
      <c r="C16" s="277" t="str">
        <f t="shared" si="2"/>
        <v/>
      </c>
      <c r="D16" s="278" t="str">
        <f t="shared" si="3"/>
        <v/>
      </c>
      <c r="E16" s="26"/>
      <c r="F16" s="26"/>
      <c r="G16" s="281" t="str">
        <f t="shared" si="0"/>
        <v/>
      </c>
      <c r="H16" s="282" t="str">
        <f>IF(INDEX(Predictions!$A$2:$AWV$3,2,$M$3+(ROW(A13)-1)*$M$4)="","",INDEX(Predictions!$A$2:$AWV$3,2,$M$3+(ROW(A13)-1)*$M$4))</f>
        <v/>
      </c>
      <c r="I16" s="283" t="str">
        <f>IF(INDEX(Predictions!$A$2:$AWV$3,2,$M$3+(ROW(A13)-1)*$M$4)="","",INDEX(Predictions!$A$2:$AWV$3,1,$M$3+(ROW(A13)-1)*$M$4))</f>
        <v/>
      </c>
      <c r="J16" s="281" t="str">
        <f t="shared" si="1"/>
        <v/>
      </c>
    </row>
    <row r="17" spans="2:10">
      <c r="B17" s="280">
        <v>14</v>
      </c>
      <c r="C17" s="277" t="str">
        <f t="shared" si="2"/>
        <v/>
      </c>
      <c r="D17" s="278" t="str">
        <f t="shared" si="3"/>
        <v/>
      </c>
      <c r="E17" s="26"/>
      <c r="F17" s="26"/>
      <c r="G17" s="281" t="str">
        <f t="shared" si="0"/>
        <v/>
      </c>
      <c r="H17" s="282" t="str">
        <f>IF(INDEX(Predictions!$A$2:$AWV$3,2,$M$3+(ROW(A14)-1)*$M$4)="","",INDEX(Predictions!$A$2:$AWV$3,2,$M$3+(ROW(A14)-1)*$M$4))</f>
        <v/>
      </c>
      <c r="I17" s="283" t="str">
        <f>IF(INDEX(Predictions!$A$2:$AWV$3,2,$M$3+(ROW(A14)-1)*$M$4)="","",INDEX(Predictions!$A$2:$AWV$3,1,$M$3+(ROW(A14)-1)*$M$4))</f>
        <v/>
      </c>
      <c r="J17" s="281" t="str">
        <f t="shared" si="1"/>
        <v/>
      </c>
    </row>
    <row r="18" spans="2:10">
      <c r="B18" s="276">
        <v>15</v>
      </c>
      <c r="C18" s="277" t="str">
        <f t="shared" si="2"/>
        <v/>
      </c>
      <c r="D18" s="278" t="str">
        <f t="shared" si="3"/>
        <v/>
      </c>
      <c r="E18" s="26"/>
      <c r="F18" s="26"/>
      <c r="G18" s="281" t="str">
        <f t="shared" si="0"/>
        <v/>
      </c>
      <c r="H18" s="282" t="str">
        <f>IF(INDEX(Predictions!$A$2:$AWV$3,2,$M$3+(ROW(A15)-1)*$M$4)="","",INDEX(Predictions!$A$2:$AWV$3,2,$M$3+(ROW(A15)-1)*$M$4))</f>
        <v/>
      </c>
      <c r="I18" s="283" t="str">
        <f>IF(INDEX(Predictions!$A$2:$AWV$3,2,$M$3+(ROW(A15)-1)*$M$4)="","",INDEX(Predictions!$A$2:$AWV$3,1,$M$3+(ROW(A15)-1)*$M$4))</f>
        <v/>
      </c>
      <c r="J18" s="281" t="str">
        <f t="shared" si="1"/>
        <v/>
      </c>
    </row>
    <row r="19" spans="2:10">
      <c r="B19" s="280">
        <v>16</v>
      </c>
      <c r="C19" s="277" t="str">
        <f t="shared" si="2"/>
        <v/>
      </c>
      <c r="D19" s="278" t="str">
        <f t="shared" si="3"/>
        <v/>
      </c>
      <c r="E19" s="26"/>
      <c r="F19" s="26"/>
      <c r="G19" s="281" t="str">
        <f t="shared" si="0"/>
        <v/>
      </c>
      <c r="H19" s="282" t="str">
        <f>IF(INDEX(Predictions!$A$2:$AWV$3,2,$M$3+(ROW(A16)-1)*$M$4)="","",INDEX(Predictions!$A$2:$AWV$3,2,$M$3+(ROW(A16)-1)*$M$4))</f>
        <v/>
      </c>
      <c r="I19" s="283" t="str">
        <f>IF(INDEX(Predictions!$A$2:$AWV$3,2,$M$3+(ROW(A16)-1)*$M$4)="","",INDEX(Predictions!$A$2:$AWV$3,1,$M$3+(ROW(A16)-1)*$M$4))</f>
        <v/>
      </c>
      <c r="J19" s="281" t="str">
        <f t="shared" si="1"/>
        <v/>
      </c>
    </row>
    <row r="20" spans="2:10">
      <c r="B20" s="276">
        <v>17</v>
      </c>
      <c r="C20" s="277" t="str">
        <f t="shared" si="2"/>
        <v/>
      </c>
      <c r="D20" s="278" t="str">
        <f t="shared" si="3"/>
        <v/>
      </c>
      <c r="E20" s="26"/>
      <c r="F20" s="26"/>
      <c r="G20" s="281" t="str">
        <f t="shared" si="0"/>
        <v/>
      </c>
      <c r="H20" s="282" t="str">
        <f>IF(INDEX(Predictions!$A$2:$AWV$3,2,$M$3+(ROW(A17)-1)*$M$4)="","",INDEX(Predictions!$A$2:$AWV$3,2,$M$3+(ROW(A17)-1)*$M$4))</f>
        <v/>
      </c>
      <c r="I20" s="283" t="str">
        <f>IF(INDEX(Predictions!$A$2:$AWV$3,2,$M$3+(ROW(A17)-1)*$M$4)="","",INDEX(Predictions!$A$2:$AWV$3,1,$M$3+(ROW(A17)-1)*$M$4))</f>
        <v/>
      </c>
      <c r="J20" s="281" t="str">
        <f t="shared" si="1"/>
        <v/>
      </c>
    </row>
    <row r="21" spans="2:10">
      <c r="B21" s="280">
        <v>18</v>
      </c>
      <c r="C21" s="277" t="str">
        <f t="shared" si="2"/>
        <v/>
      </c>
      <c r="D21" s="278" t="str">
        <f t="shared" si="3"/>
        <v/>
      </c>
      <c r="E21" s="26"/>
      <c r="F21" s="26"/>
      <c r="G21" s="281" t="str">
        <f t="shared" si="0"/>
        <v/>
      </c>
      <c r="H21" s="282" t="str">
        <f>IF(INDEX(Predictions!$A$2:$AWV$3,2,$M$3+(ROW(A18)-1)*$M$4)="","",INDEX(Predictions!$A$2:$AWV$3,2,$M$3+(ROW(A18)-1)*$M$4))</f>
        <v/>
      </c>
      <c r="I21" s="283" t="str">
        <f>IF(INDEX(Predictions!$A$2:$AWV$3,2,$M$3+(ROW(A18)-1)*$M$4)="","",INDEX(Predictions!$A$2:$AWV$3,1,$M$3+(ROW(A18)-1)*$M$4))</f>
        <v/>
      </c>
      <c r="J21" s="281" t="str">
        <f t="shared" si="1"/>
        <v/>
      </c>
    </row>
    <row r="22" spans="2:10">
      <c r="B22" s="276">
        <v>19</v>
      </c>
      <c r="C22" s="277" t="str">
        <f t="shared" si="2"/>
        <v/>
      </c>
      <c r="D22" s="278" t="str">
        <f t="shared" si="3"/>
        <v/>
      </c>
      <c r="E22" s="26"/>
      <c r="F22" s="26"/>
      <c r="G22" s="281" t="str">
        <f t="shared" si="0"/>
        <v/>
      </c>
      <c r="H22" s="282" t="str">
        <f>IF(INDEX(Predictions!$A$2:$AWV$3,2,$M$3+(ROW(A19)-1)*$M$4)="","",INDEX(Predictions!$A$2:$AWV$3,2,$M$3+(ROW(A19)-1)*$M$4))</f>
        <v/>
      </c>
      <c r="I22" s="283" t="str">
        <f>IF(INDEX(Predictions!$A$2:$AWV$3,2,$M$3+(ROW(A19)-1)*$M$4)="","",INDEX(Predictions!$A$2:$AWV$3,1,$M$3+(ROW(A19)-1)*$M$4))</f>
        <v/>
      </c>
      <c r="J22" s="281" t="str">
        <f t="shared" si="1"/>
        <v/>
      </c>
    </row>
    <row r="23" spans="2:10">
      <c r="B23" s="280">
        <v>20</v>
      </c>
      <c r="C23" s="277" t="str">
        <f t="shared" si="2"/>
        <v/>
      </c>
      <c r="D23" s="278" t="str">
        <f t="shared" si="3"/>
        <v/>
      </c>
      <c r="E23" s="26"/>
      <c r="F23" s="26"/>
      <c r="G23" s="281" t="str">
        <f t="shared" si="0"/>
        <v/>
      </c>
      <c r="H23" s="282" t="str">
        <f>IF(INDEX(Predictions!$A$2:$AWV$3,2,$M$3+(ROW(A20)-1)*$M$4)="","",INDEX(Predictions!$A$2:$AWV$3,2,$M$3+(ROW(A20)-1)*$M$4))</f>
        <v/>
      </c>
      <c r="I23" s="283" t="str">
        <f>IF(INDEX(Predictions!$A$2:$AWV$3,2,$M$3+(ROW(A20)-1)*$M$4)="","",INDEX(Predictions!$A$2:$AWV$3,1,$M$3+(ROW(A20)-1)*$M$4))</f>
        <v/>
      </c>
      <c r="J23" s="281" t="str">
        <f t="shared" si="1"/>
        <v/>
      </c>
    </row>
    <row r="24" spans="2:10">
      <c r="B24" s="276">
        <v>21</v>
      </c>
      <c r="C24" s="277" t="str">
        <f t="shared" si="2"/>
        <v/>
      </c>
      <c r="D24" s="278" t="str">
        <f t="shared" si="3"/>
        <v/>
      </c>
      <c r="E24" s="26"/>
      <c r="F24" s="26"/>
      <c r="G24" s="281" t="str">
        <f t="shared" si="0"/>
        <v/>
      </c>
      <c r="H24" s="282" t="str">
        <f>IF(INDEX(Predictions!$A$2:$AWV$3,2,$M$3+(ROW(A21)-1)*$M$4)="","",INDEX(Predictions!$A$2:$AWV$3,2,$M$3+(ROW(A21)-1)*$M$4))</f>
        <v/>
      </c>
      <c r="I24" s="283" t="str">
        <f>IF(INDEX(Predictions!$A$2:$AWV$3,2,$M$3+(ROW(A21)-1)*$M$4)="","",INDEX(Predictions!$A$2:$AWV$3,1,$M$3+(ROW(A21)-1)*$M$4))</f>
        <v/>
      </c>
      <c r="J24" s="281" t="str">
        <f t="shared" si="1"/>
        <v/>
      </c>
    </row>
    <row r="25" spans="2:10">
      <c r="B25" s="280">
        <v>22</v>
      </c>
      <c r="C25" s="277" t="str">
        <f t="shared" si="2"/>
        <v/>
      </c>
      <c r="D25" s="278" t="str">
        <f t="shared" si="3"/>
        <v/>
      </c>
      <c r="E25" s="26"/>
      <c r="F25" s="26"/>
      <c r="G25" s="281" t="str">
        <f t="shared" si="0"/>
        <v/>
      </c>
      <c r="H25" s="282" t="str">
        <f>IF(INDEX(Predictions!$A$2:$AWV$3,2,$M$3+(ROW(A22)-1)*$M$4)="","",INDEX(Predictions!$A$2:$AWV$3,2,$M$3+(ROW(A22)-1)*$M$4))</f>
        <v/>
      </c>
      <c r="I25" s="283" t="str">
        <f>IF(INDEX(Predictions!$A$2:$AWV$3,2,$M$3+(ROW(A22)-1)*$M$4)="","",INDEX(Predictions!$A$2:$AWV$3,1,$M$3+(ROW(A22)-1)*$M$4))</f>
        <v/>
      </c>
      <c r="J25" s="281" t="str">
        <f t="shared" si="1"/>
        <v/>
      </c>
    </row>
    <row r="26" spans="2:10">
      <c r="B26" s="276">
        <v>23</v>
      </c>
      <c r="C26" s="277" t="str">
        <f t="shared" si="2"/>
        <v/>
      </c>
      <c r="D26" s="278" t="str">
        <f t="shared" si="3"/>
        <v/>
      </c>
      <c r="E26" s="26"/>
      <c r="F26" s="26"/>
      <c r="G26" s="281" t="str">
        <f t="shared" si="0"/>
        <v/>
      </c>
      <c r="H26" s="282" t="str">
        <f>IF(INDEX(Predictions!$A$2:$AWV$3,2,$M$3+(ROW(A23)-1)*$M$4)="","",INDEX(Predictions!$A$2:$AWV$3,2,$M$3+(ROW(A23)-1)*$M$4))</f>
        <v/>
      </c>
      <c r="I26" s="283" t="str">
        <f>IF(INDEX(Predictions!$A$2:$AWV$3,2,$M$3+(ROW(A23)-1)*$M$4)="","",INDEX(Predictions!$A$2:$AWV$3,1,$M$3+(ROW(A23)-1)*$M$4))</f>
        <v/>
      </c>
      <c r="J26" s="281" t="str">
        <f t="shared" si="1"/>
        <v/>
      </c>
    </row>
    <row r="27" spans="2:10">
      <c r="B27" s="280">
        <v>24</v>
      </c>
      <c r="C27" s="277" t="str">
        <f t="shared" si="2"/>
        <v/>
      </c>
      <c r="D27" s="278" t="str">
        <f t="shared" si="3"/>
        <v/>
      </c>
      <c r="E27" s="26"/>
      <c r="F27" s="26"/>
      <c r="G27" s="281" t="str">
        <f t="shared" si="0"/>
        <v/>
      </c>
      <c r="H27" s="282" t="str">
        <f>IF(INDEX(Predictions!$A$2:$AWV$3,2,$M$3+(ROW(A24)-1)*$M$4)="","",INDEX(Predictions!$A$2:$AWV$3,2,$M$3+(ROW(A24)-1)*$M$4))</f>
        <v/>
      </c>
      <c r="I27" s="283" t="str">
        <f>IF(INDEX(Predictions!$A$2:$AWV$3,2,$M$3+(ROW(A24)-1)*$M$4)="","",INDEX(Predictions!$A$2:$AWV$3,1,$M$3+(ROW(A24)-1)*$M$4))</f>
        <v/>
      </c>
      <c r="J27" s="281" t="str">
        <f t="shared" si="1"/>
        <v/>
      </c>
    </row>
    <row r="28" spans="2:10">
      <c r="B28" s="276">
        <v>25</v>
      </c>
      <c r="C28" s="277" t="str">
        <f t="shared" si="2"/>
        <v/>
      </c>
      <c r="D28" s="278" t="str">
        <f t="shared" si="3"/>
        <v/>
      </c>
      <c r="E28" s="26"/>
      <c r="F28" s="26"/>
      <c r="G28" s="281" t="str">
        <f t="shared" si="0"/>
        <v/>
      </c>
      <c r="H28" s="282" t="str">
        <f>IF(INDEX(Predictions!$A$2:$AWV$3,2,$M$3+(ROW(A25)-1)*$M$4)="","",INDEX(Predictions!$A$2:$AWV$3,2,$M$3+(ROW(A25)-1)*$M$4))</f>
        <v/>
      </c>
      <c r="I28" s="283" t="str">
        <f>IF(INDEX(Predictions!$A$2:$AWV$3,2,$M$3+(ROW(A25)-1)*$M$4)="","",INDEX(Predictions!$A$2:$AWV$3,1,$M$3+(ROW(A25)-1)*$M$4))</f>
        <v/>
      </c>
      <c r="J28" s="281" t="str">
        <f t="shared" si="1"/>
        <v/>
      </c>
    </row>
    <row r="29" spans="2:10">
      <c r="B29" s="280">
        <v>26</v>
      </c>
      <c r="C29" s="277" t="str">
        <f t="shared" si="2"/>
        <v/>
      </c>
      <c r="D29" s="278" t="str">
        <f t="shared" si="3"/>
        <v/>
      </c>
      <c r="E29" s="26"/>
      <c r="F29" s="26"/>
      <c r="G29" s="281" t="str">
        <f t="shared" si="0"/>
        <v/>
      </c>
      <c r="H29" s="282" t="str">
        <f>IF(INDEX(Predictions!$A$2:$AWV$3,2,$M$3+(ROW(A26)-1)*$M$4)="","",INDEX(Predictions!$A$2:$AWV$3,2,$M$3+(ROW(A26)-1)*$M$4))</f>
        <v/>
      </c>
      <c r="I29" s="283" t="str">
        <f>IF(INDEX(Predictions!$A$2:$AWV$3,2,$M$3+(ROW(A26)-1)*$M$4)="","",INDEX(Predictions!$A$2:$AWV$3,1,$M$3+(ROW(A26)-1)*$M$4))</f>
        <v/>
      </c>
      <c r="J29" s="281" t="str">
        <f t="shared" si="1"/>
        <v/>
      </c>
    </row>
    <row r="30" spans="2:10">
      <c r="B30" s="276">
        <v>27</v>
      </c>
      <c r="C30" s="277" t="str">
        <f t="shared" si="2"/>
        <v/>
      </c>
      <c r="D30" s="278" t="str">
        <f t="shared" si="3"/>
        <v/>
      </c>
      <c r="E30" s="26"/>
      <c r="F30" s="26"/>
      <c r="G30" s="281" t="str">
        <f t="shared" si="0"/>
        <v/>
      </c>
      <c r="H30" s="282" t="str">
        <f>IF(INDEX(Predictions!$A$2:$AWV$3,2,$M$3+(ROW(A27)-1)*$M$4)="","",INDEX(Predictions!$A$2:$AWV$3,2,$M$3+(ROW(A27)-1)*$M$4))</f>
        <v/>
      </c>
      <c r="I30" s="283" t="str">
        <f>IF(INDEX(Predictions!$A$2:$AWV$3,2,$M$3+(ROW(A27)-1)*$M$4)="","",INDEX(Predictions!$A$2:$AWV$3,1,$M$3+(ROW(A27)-1)*$M$4))</f>
        <v/>
      </c>
      <c r="J30" s="281" t="str">
        <f t="shared" si="1"/>
        <v/>
      </c>
    </row>
    <row r="31" spans="2:10">
      <c r="B31" s="280">
        <v>28</v>
      </c>
      <c r="C31" s="277" t="str">
        <f t="shared" si="2"/>
        <v/>
      </c>
      <c r="D31" s="278" t="str">
        <f t="shared" si="3"/>
        <v/>
      </c>
      <c r="E31" s="26"/>
      <c r="F31" s="26"/>
      <c r="G31" s="281" t="str">
        <f t="shared" si="0"/>
        <v/>
      </c>
      <c r="H31" s="282" t="str">
        <f>IF(INDEX(Predictions!$A$2:$AWV$3,2,$M$3+(ROW(A28)-1)*$M$4)="","",INDEX(Predictions!$A$2:$AWV$3,2,$M$3+(ROW(A28)-1)*$M$4))</f>
        <v/>
      </c>
      <c r="I31" s="283" t="str">
        <f>IF(INDEX(Predictions!$A$2:$AWV$3,2,$M$3+(ROW(A28)-1)*$M$4)="","",INDEX(Predictions!$A$2:$AWV$3,1,$M$3+(ROW(A28)-1)*$M$4))</f>
        <v/>
      </c>
      <c r="J31" s="281" t="str">
        <f t="shared" si="1"/>
        <v/>
      </c>
    </row>
    <row r="32" spans="2:10">
      <c r="B32" s="276">
        <v>29</v>
      </c>
      <c r="C32" s="277" t="str">
        <f t="shared" si="2"/>
        <v/>
      </c>
      <c r="D32" s="278" t="str">
        <f t="shared" si="3"/>
        <v/>
      </c>
      <c r="E32" s="26"/>
      <c r="F32" s="26"/>
      <c r="G32" s="281" t="str">
        <f t="shared" si="0"/>
        <v/>
      </c>
      <c r="H32" s="282" t="str">
        <f>IF(INDEX(Predictions!$A$2:$AWV$3,2,$M$3+(ROW(A29)-1)*$M$4)="","",INDEX(Predictions!$A$2:$AWV$3,2,$M$3+(ROW(A29)-1)*$M$4))</f>
        <v/>
      </c>
      <c r="I32" s="283" t="str">
        <f>IF(INDEX(Predictions!$A$2:$AWV$3,2,$M$3+(ROW(A29)-1)*$M$4)="","",INDEX(Predictions!$A$2:$AWV$3,1,$M$3+(ROW(A29)-1)*$M$4))</f>
        <v/>
      </c>
      <c r="J32" s="281" t="str">
        <f t="shared" si="1"/>
        <v/>
      </c>
    </row>
    <row r="33" spans="2:10">
      <c r="B33" s="276">
        <v>30</v>
      </c>
      <c r="C33" s="277" t="str">
        <f t="shared" si="2"/>
        <v/>
      </c>
      <c r="D33" s="278" t="str">
        <f t="shared" si="3"/>
        <v/>
      </c>
      <c r="E33" s="26"/>
      <c r="F33" s="26"/>
      <c r="G33" s="281" t="str">
        <f t="shared" si="0"/>
        <v/>
      </c>
      <c r="H33" s="282" t="str">
        <f>IF(INDEX(Predictions!$A$2:$AWV$3,2,$M$3+(ROW(A30)-1)*$M$4)="","",INDEX(Predictions!$A$2:$AWV$3,2,$M$3+(ROW(A30)-1)*$M$4))</f>
        <v/>
      </c>
      <c r="I33" s="283" t="str">
        <f>IF(INDEX(Predictions!$A$2:$AWV$3,2,$M$3+(ROW(A30)-1)*$M$4)="","",INDEX(Predictions!$A$2:$AWV$3,1,$M$3+(ROW(A30)-1)*$M$4))</f>
        <v/>
      </c>
      <c r="J33" s="281" t="str">
        <f t="shared" si="1"/>
        <v/>
      </c>
    </row>
    <row r="34" spans="2:10">
      <c r="B34" s="276">
        <v>31</v>
      </c>
      <c r="C34" s="277" t="str">
        <f t="shared" si="2"/>
        <v/>
      </c>
      <c r="D34" s="278" t="str">
        <f t="shared" si="3"/>
        <v/>
      </c>
      <c r="E34" s="26"/>
      <c r="F34" s="26"/>
      <c r="G34" s="281" t="str">
        <f t="shared" si="0"/>
        <v/>
      </c>
      <c r="H34" s="282" t="str">
        <f>IF(INDEX(Predictions!$A$2:$AWV$3,2,$M$3+(ROW(A31)-1)*$M$4)="","",INDEX(Predictions!$A$2:$AWV$3,2,$M$3+(ROW(A31)-1)*$M$4))</f>
        <v/>
      </c>
      <c r="I34" s="283" t="str">
        <f>IF(INDEX(Predictions!$A$2:$AWV$3,2,$M$3+(ROW(A31)-1)*$M$4)="","",INDEX(Predictions!$A$2:$AWV$3,1,$M$3+(ROW(A31)-1)*$M$4))</f>
        <v/>
      </c>
      <c r="J34" s="281" t="str">
        <f t="shared" si="1"/>
        <v/>
      </c>
    </row>
    <row r="35" spans="2:10">
      <c r="B35" s="276">
        <v>32</v>
      </c>
      <c r="C35" s="277" t="str">
        <f t="shared" si="2"/>
        <v/>
      </c>
      <c r="D35" s="278" t="str">
        <f t="shared" si="3"/>
        <v/>
      </c>
      <c r="E35" s="26"/>
      <c r="F35" s="26"/>
      <c r="G35" s="281" t="str">
        <f t="shared" si="0"/>
        <v/>
      </c>
      <c r="H35" s="282" t="str">
        <f>IF(INDEX(Predictions!$A$2:$AWV$3,2,$M$3+(ROW(A32)-1)*$M$4)="","",INDEX(Predictions!$A$2:$AWV$3,2,$M$3+(ROW(A32)-1)*$M$4))</f>
        <v/>
      </c>
      <c r="I35" s="283" t="str">
        <f>IF(INDEX(Predictions!$A$2:$AWV$3,2,$M$3+(ROW(A32)-1)*$M$4)="","",INDEX(Predictions!$A$2:$AWV$3,1,$M$3+(ROW(A32)-1)*$M$4))</f>
        <v/>
      </c>
      <c r="J35" s="281" t="str">
        <f t="shared" si="1"/>
        <v/>
      </c>
    </row>
    <row r="36" spans="2:10">
      <c r="B36" s="276">
        <v>33</v>
      </c>
      <c r="C36" s="277" t="str">
        <f t="shared" si="2"/>
        <v/>
      </c>
      <c r="D36" s="278" t="str">
        <f t="shared" si="3"/>
        <v/>
      </c>
      <c r="E36" s="26"/>
      <c r="F36" s="26"/>
      <c r="G36" s="281" t="str">
        <f t="shared" ref="G36:G67" si="4">IF(J36="","",RANK(J36,$J$4:$J$103,1))</f>
        <v/>
      </c>
      <c r="H36" s="282" t="str">
        <f>IF(INDEX(Predictions!$A$2:$AWV$3,2,$M$3+(ROW(A33)-1)*$M$4)="","",INDEX(Predictions!$A$2:$AWV$3,2,$M$3+(ROW(A33)-1)*$M$4))</f>
        <v/>
      </c>
      <c r="I36" s="283" t="str">
        <f>IF(INDEX(Predictions!$A$2:$AWV$3,2,$M$3+(ROW(A33)-1)*$M$4)="","",INDEX(Predictions!$A$2:$AWV$3,1,$M$3+(ROW(A33)-1)*$M$4))</f>
        <v/>
      </c>
      <c r="J36" s="281" t="str">
        <f t="shared" ref="J36:J67" si="5">IF(I36="","",RANK(I36,$I$4:$I$103,0)+ROW()*0.001)</f>
        <v/>
      </c>
    </row>
    <row r="37" spans="2:10">
      <c r="B37" s="276">
        <v>34</v>
      </c>
      <c r="C37" s="277" t="str">
        <f t="shared" si="2"/>
        <v/>
      </c>
      <c r="D37" s="278" t="str">
        <f t="shared" si="3"/>
        <v/>
      </c>
      <c r="E37" s="26"/>
      <c r="F37" s="26"/>
      <c r="G37" s="281" t="str">
        <f t="shared" si="4"/>
        <v/>
      </c>
      <c r="H37" s="282" t="str">
        <f>IF(INDEX(Predictions!$A$2:$AWV$3,2,$M$3+(ROW(A34)-1)*$M$4)="","",INDEX(Predictions!$A$2:$AWV$3,2,$M$3+(ROW(A34)-1)*$M$4))</f>
        <v/>
      </c>
      <c r="I37" s="283" t="str">
        <f>IF(INDEX(Predictions!$A$2:$AWV$3,2,$M$3+(ROW(A34)-1)*$M$4)="","",INDEX(Predictions!$A$2:$AWV$3,1,$M$3+(ROW(A34)-1)*$M$4))</f>
        <v/>
      </c>
      <c r="J37" s="281" t="str">
        <f t="shared" si="5"/>
        <v/>
      </c>
    </row>
    <row r="38" spans="2:10">
      <c r="B38" s="276">
        <v>35</v>
      </c>
      <c r="C38" s="277" t="str">
        <f t="shared" si="2"/>
        <v/>
      </c>
      <c r="D38" s="278" t="str">
        <f t="shared" si="3"/>
        <v/>
      </c>
      <c r="E38" s="26"/>
      <c r="F38" s="26"/>
      <c r="G38" s="281" t="str">
        <f t="shared" si="4"/>
        <v/>
      </c>
      <c r="H38" s="282" t="str">
        <f>IF(INDEX(Predictions!$A$2:$AWV$3,2,$M$3+(ROW(A35)-1)*$M$4)="","",INDEX(Predictions!$A$2:$AWV$3,2,$M$3+(ROW(A35)-1)*$M$4))</f>
        <v/>
      </c>
      <c r="I38" s="283" t="str">
        <f>IF(INDEX(Predictions!$A$2:$AWV$3,2,$M$3+(ROW(A35)-1)*$M$4)="","",INDEX(Predictions!$A$2:$AWV$3,1,$M$3+(ROW(A35)-1)*$M$4))</f>
        <v/>
      </c>
      <c r="J38" s="281" t="str">
        <f t="shared" si="5"/>
        <v/>
      </c>
    </row>
    <row r="39" spans="2:10">
      <c r="B39" s="276">
        <v>36</v>
      </c>
      <c r="C39" s="277" t="str">
        <f t="shared" si="2"/>
        <v/>
      </c>
      <c r="D39" s="278" t="str">
        <f t="shared" si="3"/>
        <v/>
      </c>
      <c r="E39" s="26"/>
      <c r="F39" s="26"/>
      <c r="G39" s="281" t="str">
        <f t="shared" si="4"/>
        <v/>
      </c>
      <c r="H39" s="282" t="str">
        <f>IF(INDEX(Predictions!$A$2:$AWV$3,2,$M$3+(ROW(A36)-1)*$M$4)="","",INDEX(Predictions!$A$2:$AWV$3,2,$M$3+(ROW(A36)-1)*$M$4))</f>
        <v/>
      </c>
      <c r="I39" s="283" t="str">
        <f>IF(INDEX(Predictions!$A$2:$AWV$3,2,$M$3+(ROW(A36)-1)*$M$4)="","",INDEX(Predictions!$A$2:$AWV$3,1,$M$3+(ROW(A36)-1)*$M$4))</f>
        <v/>
      </c>
      <c r="J39" s="281" t="str">
        <f t="shared" si="5"/>
        <v/>
      </c>
    </row>
    <row r="40" spans="2:10">
      <c r="B40" s="276">
        <v>37</v>
      </c>
      <c r="C40" s="277" t="str">
        <f t="shared" si="2"/>
        <v/>
      </c>
      <c r="D40" s="278" t="str">
        <f t="shared" si="3"/>
        <v/>
      </c>
      <c r="E40" s="26"/>
      <c r="F40" s="26"/>
      <c r="G40" s="281" t="str">
        <f t="shared" si="4"/>
        <v/>
      </c>
      <c r="H40" s="282" t="str">
        <f>IF(INDEX(Predictions!$A$2:$AWV$3,2,$M$3+(ROW(A37)-1)*$M$4)="","",INDEX(Predictions!$A$2:$AWV$3,2,$M$3+(ROW(A37)-1)*$M$4))</f>
        <v/>
      </c>
      <c r="I40" s="283" t="str">
        <f>IF(INDEX(Predictions!$A$2:$AWV$3,2,$M$3+(ROW(A37)-1)*$M$4)="","",INDEX(Predictions!$A$2:$AWV$3,1,$M$3+(ROW(A37)-1)*$M$4))</f>
        <v/>
      </c>
      <c r="J40" s="281" t="str">
        <f t="shared" si="5"/>
        <v/>
      </c>
    </row>
    <row r="41" spans="2:10">
      <c r="B41" s="276">
        <v>38</v>
      </c>
      <c r="C41" s="277" t="str">
        <f t="shared" si="2"/>
        <v/>
      </c>
      <c r="D41" s="278" t="str">
        <f t="shared" si="3"/>
        <v/>
      </c>
      <c r="E41" s="26"/>
      <c r="F41" s="26"/>
      <c r="G41" s="281" t="str">
        <f t="shared" si="4"/>
        <v/>
      </c>
      <c r="H41" s="282" t="str">
        <f>IF(INDEX(Predictions!$A$2:$AWV$3,2,$M$3+(ROW(A38)-1)*$M$4)="","",INDEX(Predictions!$A$2:$AWV$3,2,$M$3+(ROW(A38)-1)*$M$4))</f>
        <v/>
      </c>
      <c r="I41" s="283" t="str">
        <f>IF(INDEX(Predictions!$A$2:$AWV$3,2,$M$3+(ROW(A38)-1)*$M$4)="","",INDEX(Predictions!$A$2:$AWV$3,1,$M$3+(ROW(A38)-1)*$M$4))</f>
        <v/>
      </c>
      <c r="J41" s="281" t="str">
        <f t="shared" si="5"/>
        <v/>
      </c>
    </row>
    <row r="42" spans="2:10">
      <c r="B42" s="276">
        <v>39</v>
      </c>
      <c r="C42" s="277" t="str">
        <f t="shared" si="2"/>
        <v/>
      </c>
      <c r="D42" s="278" t="str">
        <f t="shared" si="3"/>
        <v/>
      </c>
      <c r="E42" s="26"/>
      <c r="F42" s="26"/>
      <c r="G42" s="281" t="str">
        <f t="shared" si="4"/>
        <v/>
      </c>
      <c r="H42" s="282" t="str">
        <f>IF(INDEX(Predictions!$A$2:$AWV$3,2,$M$3+(ROW(A39)-1)*$M$4)="","",INDEX(Predictions!$A$2:$AWV$3,2,$M$3+(ROW(A39)-1)*$M$4))</f>
        <v/>
      </c>
      <c r="I42" s="283" t="str">
        <f>IF(INDEX(Predictions!$A$2:$AWV$3,2,$M$3+(ROW(A39)-1)*$M$4)="","",INDEX(Predictions!$A$2:$AWV$3,1,$M$3+(ROW(A39)-1)*$M$4))</f>
        <v/>
      </c>
      <c r="J42" s="281" t="str">
        <f t="shared" si="5"/>
        <v/>
      </c>
    </row>
    <row r="43" spans="2:10">
      <c r="B43" s="276">
        <v>40</v>
      </c>
      <c r="C43" s="277" t="str">
        <f t="shared" si="2"/>
        <v/>
      </c>
      <c r="D43" s="278" t="str">
        <f t="shared" si="3"/>
        <v/>
      </c>
      <c r="E43" s="26"/>
      <c r="F43" s="26"/>
      <c r="G43" s="281" t="str">
        <f t="shared" si="4"/>
        <v/>
      </c>
      <c r="H43" s="282" t="str">
        <f>IF(INDEX(Predictions!$A$2:$AWV$3,2,$M$3+(ROW(A40)-1)*$M$4)="","",INDEX(Predictions!$A$2:$AWV$3,2,$M$3+(ROW(A40)-1)*$M$4))</f>
        <v/>
      </c>
      <c r="I43" s="283" t="str">
        <f>IF(INDEX(Predictions!$A$2:$AWV$3,2,$M$3+(ROW(A40)-1)*$M$4)="","",INDEX(Predictions!$A$2:$AWV$3,1,$M$3+(ROW(A40)-1)*$M$4))</f>
        <v/>
      </c>
      <c r="J43" s="281" t="str">
        <f t="shared" si="5"/>
        <v/>
      </c>
    </row>
    <row r="44" spans="2:10">
      <c r="B44" s="276">
        <v>41</v>
      </c>
      <c r="C44" s="277" t="str">
        <f t="shared" si="2"/>
        <v/>
      </c>
      <c r="D44" s="278" t="str">
        <f t="shared" si="3"/>
        <v/>
      </c>
      <c r="E44" s="26"/>
      <c r="F44" s="26"/>
      <c r="G44" s="281" t="str">
        <f t="shared" si="4"/>
        <v/>
      </c>
      <c r="H44" s="282" t="str">
        <f>IF(INDEX(Predictions!$A$2:$AWV$3,2,$M$3+(ROW(A41)-1)*$M$4)="","",INDEX(Predictions!$A$2:$AWV$3,2,$M$3+(ROW(A41)-1)*$M$4))</f>
        <v/>
      </c>
      <c r="I44" s="283" t="str">
        <f>IF(INDEX(Predictions!$A$2:$AWV$3,2,$M$3+(ROW(A41)-1)*$M$4)="","",INDEX(Predictions!$A$2:$AWV$3,1,$M$3+(ROW(A41)-1)*$M$4))</f>
        <v/>
      </c>
      <c r="J44" s="281" t="str">
        <f t="shared" si="5"/>
        <v/>
      </c>
    </row>
    <row r="45" spans="2:10">
      <c r="B45" s="276">
        <v>42</v>
      </c>
      <c r="C45" s="277" t="str">
        <f t="shared" si="2"/>
        <v/>
      </c>
      <c r="D45" s="278" t="str">
        <f t="shared" si="3"/>
        <v/>
      </c>
      <c r="E45" s="26"/>
      <c r="F45" s="26"/>
      <c r="G45" s="281" t="str">
        <f t="shared" si="4"/>
        <v/>
      </c>
      <c r="H45" s="282" t="str">
        <f>IF(INDEX(Predictions!$A$2:$AWV$3,2,$M$3+(ROW(A42)-1)*$M$4)="","",INDEX(Predictions!$A$2:$AWV$3,2,$M$3+(ROW(A42)-1)*$M$4))</f>
        <v/>
      </c>
      <c r="I45" s="283" t="str">
        <f>IF(INDEX(Predictions!$A$2:$AWV$3,2,$M$3+(ROW(A42)-1)*$M$4)="","",INDEX(Predictions!$A$2:$AWV$3,1,$M$3+(ROW(A42)-1)*$M$4))</f>
        <v/>
      </c>
      <c r="J45" s="281" t="str">
        <f t="shared" si="5"/>
        <v/>
      </c>
    </row>
    <row r="46" spans="2:10">
      <c r="B46" s="276">
        <v>43</v>
      </c>
      <c r="C46" s="277" t="str">
        <f t="shared" si="2"/>
        <v/>
      </c>
      <c r="D46" s="278" t="str">
        <f t="shared" si="3"/>
        <v/>
      </c>
      <c r="E46" s="26"/>
      <c r="F46" s="26"/>
      <c r="G46" s="281" t="str">
        <f t="shared" si="4"/>
        <v/>
      </c>
      <c r="H46" s="282" t="str">
        <f>IF(INDEX(Predictions!$A$2:$AWV$3,2,$M$3+(ROW(A43)-1)*$M$4)="","",INDEX(Predictions!$A$2:$AWV$3,2,$M$3+(ROW(A43)-1)*$M$4))</f>
        <v/>
      </c>
      <c r="I46" s="283" t="str">
        <f>IF(INDEX(Predictions!$A$2:$AWV$3,2,$M$3+(ROW(A43)-1)*$M$4)="","",INDEX(Predictions!$A$2:$AWV$3,1,$M$3+(ROW(A43)-1)*$M$4))</f>
        <v/>
      </c>
      <c r="J46" s="281" t="str">
        <f t="shared" si="5"/>
        <v/>
      </c>
    </row>
    <row r="47" spans="2:10">
      <c r="B47" s="276">
        <v>44</v>
      </c>
      <c r="C47" s="277" t="str">
        <f t="shared" si="2"/>
        <v/>
      </c>
      <c r="D47" s="278" t="str">
        <f t="shared" si="3"/>
        <v/>
      </c>
      <c r="E47" s="26"/>
      <c r="F47" s="26"/>
      <c r="G47" s="281" t="str">
        <f t="shared" si="4"/>
        <v/>
      </c>
      <c r="H47" s="282" t="str">
        <f>IF(INDEX(Predictions!$A$2:$AWV$3,2,$M$3+(ROW(A44)-1)*$M$4)="","",INDEX(Predictions!$A$2:$AWV$3,2,$M$3+(ROW(A44)-1)*$M$4))</f>
        <v/>
      </c>
      <c r="I47" s="283" t="str">
        <f>IF(INDEX(Predictions!$A$2:$AWV$3,2,$M$3+(ROW(A44)-1)*$M$4)="","",INDEX(Predictions!$A$2:$AWV$3,1,$M$3+(ROW(A44)-1)*$M$4))</f>
        <v/>
      </c>
      <c r="J47" s="281" t="str">
        <f t="shared" si="5"/>
        <v/>
      </c>
    </row>
    <row r="48" spans="2:10">
      <c r="B48" s="276">
        <v>45</v>
      </c>
      <c r="C48" s="277" t="str">
        <f t="shared" si="2"/>
        <v/>
      </c>
      <c r="D48" s="278" t="str">
        <f t="shared" si="3"/>
        <v/>
      </c>
      <c r="E48" s="26"/>
      <c r="F48" s="26"/>
      <c r="G48" s="281" t="str">
        <f t="shared" si="4"/>
        <v/>
      </c>
      <c r="H48" s="282" t="str">
        <f>IF(INDEX(Predictions!$A$2:$AWV$3,2,$M$3+(ROW(A45)-1)*$M$4)="","",INDEX(Predictions!$A$2:$AWV$3,2,$M$3+(ROW(A45)-1)*$M$4))</f>
        <v/>
      </c>
      <c r="I48" s="283" t="str">
        <f>IF(INDEX(Predictions!$A$2:$AWV$3,2,$M$3+(ROW(A45)-1)*$M$4)="","",INDEX(Predictions!$A$2:$AWV$3,1,$M$3+(ROW(A45)-1)*$M$4))</f>
        <v/>
      </c>
      <c r="J48" s="281" t="str">
        <f t="shared" si="5"/>
        <v/>
      </c>
    </row>
    <row r="49" spans="2:10">
      <c r="B49" s="276">
        <v>46</v>
      </c>
      <c r="C49" s="277" t="str">
        <f t="shared" si="2"/>
        <v/>
      </c>
      <c r="D49" s="278" t="str">
        <f t="shared" si="3"/>
        <v/>
      </c>
      <c r="E49" s="26"/>
      <c r="F49" s="26"/>
      <c r="G49" s="281" t="str">
        <f t="shared" si="4"/>
        <v/>
      </c>
      <c r="H49" s="282" t="str">
        <f>IF(INDEX(Predictions!$A$2:$AWV$3,2,$M$3+(ROW(A46)-1)*$M$4)="","",INDEX(Predictions!$A$2:$AWV$3,2,$M$3+(ROW(A46)-1)*$M$4))</f>
        <v/>
      </c>
      <c r="I49" s="283" t="str">
        <f>IF(INDEX(Predictions!$A$2:$AWV$3,2,$M$3+(ROW(A46)-1)*$M$4)="","",INDEX(Predictions!$A$2:$AWV$3,1,$M$3+(ROW(A46)-1)*$M$4))</f>
        <v/>
      </c>
      <c r="J49" s="281" t="str">
        <f t="shared" si="5"/>
        <v/>
      </c>
    </row>
    <row r="50" spans="2:10">
      <c r="B50" s="276">
        <v>47</v>
      </c>
      <c r="C50" s="277" t="str">
        <f t="shared" si="2"/>
        <v/>
      </c>
      <c r="D50" s="278" t="str">
        <f t="shared" si="3"/>
        <v/>
      </c>
      <c r="E50" s="26"/>
      <c r="F50" s="26"/>
      <c r="G50" s="281" t="str">
        <f t="shared" si="4"/>
        <v/>
      </c>
      <c r="H50" s="282" t="str">
        <f>IF(INDEX(Predictions!$A$2:$AWV$3,2,$M$3+(ROW(A47)-1)*$M$4)="","",INDEX(Predictions!$A$2:$AWV$3,2,$M$3+(ROW(A47)-1)*$M$4))</f>
        <v/>
      </c>
      <c r="I50" s="283" t="str">
        <f>IF(INDEX(Predictions!$A$2:$AWV$3,2,$M$3+(ROW(A47)-1)*$M$4)="","",INDEX(Predictions!$A$2:$AWV$3,1,$M$3+(ROW(A47)-1)*$M$4))</f>
        <v/>
      </c>
      <c r="J50" s="281" t="str">
        <f t="shared" si="5"/>
        <v/>
      </c>
    </row>
    <row r="51" spans="2:10">
      <c r="B51" s="276">
        <v>48</v>
      </c>
      <c r="C51" s="277" t="str">
        <f t="shared" si="2"/>
        <v/>
      </c>
      <c r="D51" s="278" t="str">
        <f t="shared" si="3"/>
        <v/>
      </c>
      <c r="E51" s="26"/>
      <c r="F51" s="26"/>
      <c r="G51" s="281" t="str">
        <f t="shared" si="4"/>
        <v/>
      </c>
      <c r="H51" s="282" t="str">
        <f>IF(INDEX(Predictions!$A$2:$AWV$3,2,$M$3+(ROW(A48)-1)*$M$4)="","",INDEX(Predictions!$A$2:$AWV$3,2,$M$3+(ROW(A48)-1)*$M$4))</f>
        <v/>
      </c>
      <c r="I51" s="283" t="str">
        <f>IF(INDEX(Predictions!$A$2:$AWV$3,2,$M$3+(ROW(A48)-1)*$M$4)="","",INDEX(Predictions!$A$2:$AWV$3,1,$M$3+(ROW(A48)-1)*$M$4))</f>
        <v/>
      </c>
      <c r="J51" s="281" t="str">
        <f t="shared" si="5"/>
        <v/>
      </c>
    </row>
    <row r="52" spans="2:10">
      <c r="B52" s="276">
        <v>49</v>
      </c>
      <c r="C52" s="277" t="str">
        <f t="shared" si="2"/>
        <v/>
      </c>
      <c r="D52" s="278" t="str">
        <f t="shared" si="3"/>
        <v/>
      </c>
      <c r="E52" s="26"/>
      <c r="F52" s="26"/>
      <c r="G52" s="281" t="str">
        <f t="shared" si="4"/>
        <v/>
      </c>
      <c r="H52" s="282" t="str">
        <f>IF(INDEX(Predictions!$A$2:$AWV$3,2,$M$3+(ROW(A49)-1)*$M$4)="","",INDEX(Predictions!$A$2:$AWV$3,2,$M$3+(ROW(A49)-1)*$M$4))</f>
        <v/>
      </c>
      <c r="I52" s="283" t="str">
        <f>IF(INDEX(Predictions!$A$2:$AWV$3,2,$M$3+(ROW(A49)-1)*$M$4)="","",INDEX(Predictions!$A$2:$AWV$3,1,$M$3+(ROW(A49)-1)*$M$4))</f>
        <v/>
      </c>
      <c r="J52" s="281" t="str">
        <f t="shared" si="5"/>
        <v/>
      </c>
    </row>
    <row r="53" spans="2:10">
      <c r="B53" s="276">
        <v>50</v>
      </c>
      <c r="C53" s="277" t="str">
        <f t="shared" si="2"/>
        <v/>
      </c>
      <c r="D53" s="278" t="str">
        <f t="shared" si="3"/>
        <v/>
      </c>
      <c r="E53" s="26"/>
      <c r="F53" s="26"/>
      <c r="G53" s="281" t="str">
        <f t="shared" si="4"/>
        <v/>
      </c>
      <c r="H53" s="282" t="str">
        <f>IF(INDEX(Predictions!$A$2:$AWV$3,2,$M$3+(ROW(A50)-1)*$M$4)="","",INDEX(Predictions!$A$2:$AWV$3,2,$M$3+(ROW(A50)-1)*$M$4))</f>
        <v/>
      </c>
      <c r="I53" s="283" t="str">
        <f>IF(INDEX(Predictions!$A$2:$AWV$3,2,$M$3+(ROW(A50)-1)*$M$4)="","",INDEX(Predictions!$A$2:$AWV$3,1,$M$3+(ROW(A50)-1)*$M$4))</f>
        <v/>
      </c>
      <c r="J53" s="281" t="str">
        <f t="shared" si="5"/>
        <v/>
      </c>
    </row>
    <row r="54" spans="2:10">
      <c r="B54" s="276">
        <v>51</v>
      </c>
      <c r="C54" s="277" t="str">
        <f t="shared" si="2"/>
        <v/>
      </c>
      <c r="D54" s="278" t="str">
        <f t="shared" si="3"/>
        <v/>
      </c>
      <c r="E54" s="26"/>
      <c r="F54" s="26"/>
      <c r="G54" s="281" t="str">
        <f t="shared" si="4"/>
        <v/>
      </c>
      <c r="H54" s="282" t="str">
        <f>IF(INDEX(Predictions!$A$2:$AWV$3,2,$M$3+(ROW(A51)-1)*$M$4)="","",INDEX(Predictions!$A$2:$AWV$3,2,$M$3+(ROW(A51)-1)*$M$4))</f>
        <v/>
      </c>
      <c r="I54" s="283" t="str">
        <f>IF(INDEX(Predictions!$A$2:$AWV$3,2,$M$3+(ROW(A51)-1)*$M$4)="","",INDEX(Predictions!$A$2:$AWV$3,1,$M$3+(ROW(A51)-1)*$M$4))</f>
        <v/>
      </c>
      <c r="J54" s="281" t="str">
        <f t="shared" si="5"/>
        <v/>
      </c>
    </row>
    <row r="55" spans="2:10">
      <c r="B55" s="276">
        <v>52</v>
      </c>
      <c r="C55" s="277" t="str">
        <f t="shared" si="2"/>
        <v/>
      </c>
      <c r="D55" s="278" t="str">
        <f t="shared" si="3"/>
        <v/>
      </c>
      <c r="E55" s="26"/>
      <c r="F55" s="26"/>
      <c r="G55" s="281" t="str">
        <f t="shared" si="4"/>
        <v/>
      </c>
      <c r="H55" s="282" t="str">
        <f>IF(INDEX(Predictions!$A$2:$AWV$3,2,$M$3+(ROW(A52)-1)*$M$4)="","",INDEX(Predictions!$A$2:$AWV$3,2,$M$3+(ROW(A52)-1)*$M$4))</f>
        <v/>
      </c>
      <c r="I55" s="283" t="str">
        <f>IF(INDEX(Predictions!$A$2:$AWV$3,2,$M$3+(ROW(A52)-1)*$M$4)="","",INDEX(Predictions!$A$2:$AWV$3,1,$M$3+(ROW(A52)-1)*$M$4))</f>
        <v/>
      </c>
      <c r="J55" s="281" t="str">
        <f t="shared" si="5"/>
        <v/>
      </c>
    </row>
    <row r="56" spans="2:10">
      <c r="B56" s="276">
        <v>53</v>
      </c>
      <c r="C56" s="277" t="str">
        <f t="shared" si="2"/>
        <v/>
      </c>
      <c r="D56" s="278" t="str">
        <f t="shared" si="3"/>
        <v/>
      </c>
      <c r="E56" s="26"/>
      <c r="F56" s="26"/>
      <c r="G56" s="281" t="str">
        <f t="shared" si="4"/>
        <v/>
      </c>
      <c r="H56" s="282" t="str">
        <f>IF(INDEX(Predictions!$A$2:$AWV$3,2,$M$3+(ROW(A53)-1)*$M$4)="","",INDEX(Predictions!$A$2:$AWV$3,2,$M$3+(ROW(A53)-1)*$M$4))</f>
        <v/>
      </c>
      <c r="I56" s="283" t="str">
        <f>IF(INDEX(Predictions!$A$2:$AWV$3,2,$M$3+(ROW(A53)-1)*$M$4)="","",INDEX(Predictions!$A$2:$AWV$3,1,$M$3+(ROW(A53)-1)*$M$4))</f>
        <v/>
      </c>
      <c r="J56" s="281" t="str">
        <f t="shared" si="5"/>
        <v/>
      </c>
    </row>
    <row r="57" spans="2:10">
      <c r="B57" s="276">
        <v>54</v>
      </c>
      <c r="C57" s="277" t="str">
        <f t="shared" si="2"/>
        <v/>
      </c>
      <c r="D57" s="278" t="str">
        <f t="shared" si="3"/>
        <v/>
      </c>
      <c r="E57" s="26"/>
      <c r="F57" s="26"/>
      <c r="G57" s="281" t="str">
        <f t="shared" si="4"/>
        <v/>
      </c>
      <c r="H57" s="282" t="str">
        <f>IF(INDEX(Predictions!$A$2:$AWV$3,2,$M$3+(ROW(A54)-1)*$M$4)="","",INDEX(Predictions!$A$2:$AWV$3,2,$M$3+(ROW(A54)-1)*$M$4))</f>
        <v/>
      </c>
      <c r="I57" s="283" t="str">
        <f>IF(INDEX(Predictions!$A$2:$AWV$3,2,$M$3+(ROW(A54)-1)*$M$4)="","",INDEX(Predictions!$A$2:$AWV$3,1,$M$3+(ROW(A54)-1)*$M$4))</f>
        <v/>
      </c>
      <c r="J57" s="281" t="str">
        <f t="shared" si="5"/>
        <v/>
      </c>
    </row>
    <row r="58" spans="2:10">
      <c r="B58" s="276">
        <v>55</v>
      </c>
      <c r="C58" s="277" t="str">
        <f t="shared" si="2"/>
        <v/>
      </c>
      <c r="D58" s="278" t="str">
        <f t="shared" si="3"/>
        <v/>
      </c>
      <c r="E58" s="26"/>
      <c r="F58" s="26"/>
      <c r="G58" s="281" t="str">
        <f t="shared" si="4"/>
        <v/>
      </c>
      <c r="H58" s="282" t="str">
        <f>IF(INDEX(Predictions!$A$2:$AWV$3,2,$M$3+(ROW(A55)-1)*$M$4)="","",INDEX(Predictions!$A$2:$AWV$3,2,$M$3+(ROW(A55)-1)*$M$4))</f>
        <v/>
      </c>
      <c r="I58" s="283" t="str">
        <f>IF(INDEX(Predictions!$A$2:$AWV$3,2,$M$3+(ROW(A55)-1)*$M$4)="","",INDEX(Predictions!$A$2:$AWV$3,1,$M$3+(ROW(A55)-1)*$M$4))</f>
        <v/>
      </c>
      <c r="J58" s="281" t="str">
        <f t="shared" si="5"/>
        <v/>
      </c>
    </row>
    <row r="59" spans="2:10">
      <c r="B59" s="276">
        <v>56</v>
      </c>
      <c r="C59" s="277" t="str">
        <f t="shared" si="2"/>
        <v/>
      </c>
      <c r="D59" s="278" t="str">
        <f t="shared" si="3"/>
        <v/>
      </c>
      <c r="E59" s="26"/>
      <c r="F59" s="26"/>
      <c r="G59" s="281" t="str">
        <f t="shared" si="4"/>
        <v/>
      </c>
      <c r="H59" s="282" t="str">
        <f>IF(INDEX(Predictions!$A$2:$AWV$3,2,$M$3+(ROW(A56)-1)*$M$4)="","",INDEX(Predictions!$A$2:$AWV$3,2,$M$3+(ROW(A56)-1)*$M$4))</f>
        <v/>
      </c>
      <c r="I59" s="283" t="str">
        <f>IF(INDEX(Predictions!$A$2:$AWV$3,2,$M$3+(ROW(A56)-1)*$M$4)="","",INDEX(Predictions!$A$2:$AWV$3,1,$M$3+(ROW(A56)-1)*$M$4))</f>
        <v/>
      </c>
      <c r="J59" s="281" t="str">
        <f t="shared" si="5"/>
        <v/>
      </c>
    </row>
    <row r="60" spans="2:10">
      <c r="B60" s="276">
        <v>57</v>
      </c>
      <c r="C60" s="277" t="str">
        <f t="shared" si="2"/>
        <v/>
      </c>
      <c r="D60" s="278" t="str">
        <f t="shared" si="3"/>
        <v/>
      </c>
      <c r="E60" s="26"/>
      <c r="F60" s="26"/>
      <c r="G60" s="281" t="str">
        <f t="shared" si="4"/>
        <v/>
      </c>
      <c r="H60" s="282" t="str">
        <f>IF(INDEX(Predictions!$A$2:$AWV$3,2,$M$3+(ROW(A57)-1)*$M$4)="","",INDEX(Predictions!$A$2:$AWV$3,2,$M$3+(ROW(A57)-1)*$M$4))</f>
        <v/>
      </c>
      <c r="I60" s="283" t="str">
        <f>IF(INDEX(Predictions!$A$2:$AWV$3,2,$M$3+(ROW(A57)-1)*$M$4)="","",INDEX(Predictions!$A$2:$AWV$3,1,$M$3+(ROW(A57)-1)*$M$4))</f>
        <v/>
      </c>
      <c r="J60" s="281" t="str">
        <f t="shared" si="5"/>
        <v/>
      </c>
    </row>
    <row r="61" spans="2:10">
      <c r="B61" s="276">
        <v>58</v>
      </c>
      <c r="C61" s="277" t="str">
        <f t="shared" si="2"/>
        <v/>
      </c>
      <c r="D61" s="278" t="str">
        <f t="shared" si="3"/>
        <v/>
      </c>
      <c r="E61" s="26"/>
      <c r="F61" s="26"/>
      <c r="G61" s="281" t="str">
        <f t="shared" si="4"/>
        <v/>
      </c>
      <c r="H61" s="282" t="str">
        <f>IF(INDEX(Predictions!$A$2:$AWV$3,2,$M$3+(ROW(A58)-1)*$M$4)="","",INDEX(Predictions!$A$2:$AWV$3,2,$M$3+(ROW(A58)-1)*$M$4))</f>
        <v/>
      </c>
      <c r="I61" s="283" t="str">
        <f>IF(INDEX(Predictions!$A$2:$AWV$3,2,$M$3+(ROW(A58)-1)*$M$4)="","",INDEX(Predictions!$A$2:$AWV$3,1,$M$3+(ROW(A58)-1)*$M$4))</f>
        <v/>
      </c>
      <c r="J61" s="281" t="str">
        <f t="shared" si="5"/>
        <v/>
      </c>
    </row>
    <row r="62" spans="2:10">
      <c r="B62" s="276">
        <v>59</v>
      </c>
      <c r="C62" s="277" t="str">
        <f t="shared" si="2"/>
        <v/>
      </c>
      <c r="D62" s="278" t="str">
        <f t="shared" si="3"/>
        <v/>
      </c>
      <c r="E62" s="26"/>
      <c r="F62" s="26"/>
      <c r="G62" s="281" t="str">
        <f t="shared" si="4"/>
        <v/>
      </c>
      <c r="H62" s="282" t="str">
        <f>IF(INDEX(Predictions!$A$2:$AWV$3,2,$M$3+(ROW(A59)-1)*$M$4)="","",INDEX(Predictions!$A$2:$AWV$3,2,$M$3+(ROW(A59)-1)*$M$4))</f>
        <v/>
      </c>
      <c r="I62" s="283" t="str">
        <f>IF(INDEX(Predictions!$A$2:$AWV$3,2,$M$3+(ROW(A59)-1)*$M$4)="","",INDEX(Predictions!$A$2:$AWV$3,1,$M$3+(ROW(A59)-1)*$M$4))</f>
        <v/>
      </c>
      <c r="J62" s="281" t="str">
        <f t="shared" si="5"/>
        <v/>
      </c>
    </row>
    <row r="63" spans="2:10">
      <c r="B63" s="276">
        <v>60</v>
      </c>
      <c r="C63" s="277" t="str">
        <f t="shared" si="2"/>
        <v/>
      </c>
      <c r="D63" s="278" t="str">
        <f t="shared" si="3"/>
        <v/>
      </c>
      <c r="E63" s="26"/>
      <c r="F63" s="26"/>
      <c r="G63" s="281" t="str">
        <f t="shared" si="4"/>
        <v/>
      </c>
      <c r="H63" s="282" t="str">
        <f>IF(INDEX(Predictions!$A$2:$AWV$3,2,$M$3+(ROW(A60)-1)*$M$4)="","",INDEX(Predictions!$A$2:$AWV$3,2,$M$3+(ROW(A60)-1)*$M$4))</f>
        <v/>
      </c>
      <c r="I63" s="283" t="str">
        <f>IF(INDEX(Predictions!$A$2:$AWV$3,2,$M$3+(ROW(A60)-1)*$M$4)="","",INDEX(Predictions!$A$2:$AWV$3,1,$M$3+(ROW(A60)-1)*$M$4))</f>
        <v/>
      </c>
      <c r="J63" s="281" t="str">
        <f t="shared" si="5"/>
        <v/>
      </c>
    </row>
    <row r="64" spans="2:10">
      <c r="B64" s="276">
        <v>61</v>
      </c>
      <c r="C64" s="277" t="str">
        <f t="shared" si="2"/>
        <v/>
      </c>
      <c r="D64" s="278" t="str">
        <f t="shared" si="3"/>
        <v/>
      </c>
      <c r="E64" s="26"/>
      <c r="F64" s="26"/>
      <c r="G64" s="281" t="str">
        <f t="shared" si="4"/>
        <v/>
      </c>
      <c r="H64" s="282" t="str">
        <f>IF(INDEX(Predictions!$A$2:$AWV$3,2,$M$3+(ROW(A61)-1)*$M$4)="","",INDEX(Predictions!$A$2:$AWV$3,2,$M$3+(ROW(A61)-1)*$M$4))</f>
        <v/>
      </c>
      <c r="I64" s="283" t="str">
        <f>IF(INDEX(Predictions!$A$2:$AWV$3,2,$M$3+(ROW(A61)-1)*$M$4)="","",INDEX(Predictions!$A$2:$AWV$3,1,$M$3+(ROW(A61)-1)*$M$4))</f>
        <v/>
      </c>
      <c r="J64" s="281" t="str">
        <f t="shared" si="5"/>
        <v/>
      </c>
    </row>
    <row r="65" spans="2:10">
      <c r="B65" s="276">
        <v>62</v>
      </c>
      <c r="C65" s="277" t="str">
        <f t="shared" si="2"/>
        <v/>
      </c>
      <c r="D65" s="278" t="str">
        <f t="shared" si="3"/>
        <v/>
      </c>
      <c r="E65" s="26"/>
      <c r="F65" s="26"/>
      <c r="G65" s="281" t="str">
        <f t="shared" si="4"/>
        <v/>
      </c>
      <c r="H65" s="282" t="str">
        <f>IF(INDEX(Predictions!$A$2:$AWV$3,2,$M$3+(ROW(A62)-1)*$M$4)="","",INDEX(Predictions!$A$2:$AWV$3,2,$M$3+(ROW(A62)-1)*$M$4))</f>
        <v/>
      </c>
      <c r="I65" s="283" t="str">
        <f>IF(INDEX(Predictions!$A$2:$AWV$3,2,$M$3+(ROW(A62)-1)*$M$4)="","",INDEX(Predictions!$A$2:$AWV$3,1,$M$3+(ROW(A62)-1)*$M$4))</f>
        <v/>
      </c>
      <c r="J65" s="281" t="str">
        <f t="shared" si="5"/>
        <v/>
      </c>
    </row>
    <row r="66" spans="2:10">
      <c r="B66" s="276">
        <v>63</v>
      </c>
      <c r="C66" s="277" t="str">
        <f t="shared" si="2"/>
        <v/>
      </c>
      <c r="D66" s="278" t="str">
        <f t="shared" si="3"/>
        <v/>
      </c>
      <c r="E66" s="26"/>
      <c r="F66" s="26"/>
      <c r="G66" s="281" t="str">
        <f t="shared" si="4"/>
        <v/>
      </c>
      <c r="H66" s="282" t="str">
        <f>IF(INDEX(Predictions!$A$2:$AWV$3,2,$M$3+(ROW(A63)-1)*$M$4)="","",INDEX(Predictions!$A$2:$AWV$3,2,$M$3+(ROW(A63)-1)*$M$4))</f>
        <v/>
      </c>
      <c r="I66" s="283" t="str">
        <f>IF(INDEX(Predictions!$A$2:$AWV$3,2,$M$3+(ROW(A63)-1)*$M$4)="","",INDEX(Predictions!$A$2:$AWV$3,1,$M$3+(ROW(A63)-1)*$M$4))</f>
        <v/>
      </c>
      <c r="J66" s="281" t="str">
        <f t="shared" si="5"/>
        <v/>
      </c>
    </row>
    <row r="67" spans="2:10">
      <c r="B67" s="276">
        <v>64</v>
      </c>
      <c r="C67" s="277" t="str">
        <f t="shared" si="2"/>
        <v/>
      </c>
      <c r="D67" s="278" t="str">
        <f t="shared" si="3"/>
        <v/>
      </c>
      <c r="E67" s="26"/>
      <c r="F67" s="26"/>
      <c r="G67" s="281" t="str">
        <f t="shared" si="4"/>
        <v/>
      </c>
      <c r="H67" s="282" t="str">
        <f>IF(INDEX(Predictions!$A$2:$AWV$3,2,$M$3+(ROW(A64)-1)*$M$4)="","",INDEX(Predictions!$A$2:$AWV$3,2,$M$3+(ROW(A64)-1)*$M$4))</f>
        <v/>
      </c>
      <c r="I67" s="283" t="str">
        <f>IF(INDEX(Predictions!$A$2:$AWV$3,2,$M$3+(ROW(A64)-1)*$M$4)="","",INDEX(Predictions!$A$2:$AWV$3,1,$M$3+(ROW(A64)-1)*$M$4))</f>
        <v/>
      </c>
      <c r="J67" s="281" t="str">
        <f t="shared" si="5"/>
        <v/>
      </c>
    </row>
    <row r="68" spans="2:10">
      <c r="B68" s="276">
        <v>65</v>
      </c>
      <c r="C68" s="277" t="str">
        <f t="shared" si="2"/>
        <v/>
      </c>
      <c r="D68" s="278" t="str">
        <f t="shared" si="3"/>
        <v/>
      </c>
      <c r="E68" s="26"/>
      <c r="F68" s="26"/>
      <c r="G68" s="281" t="str">
        <f t="shared" ref="G68:G103" si="6">IF(J68="","",RANK(J68,$J$4:$J$103,1))</f>
        <v/>
      </c>
      <c r="H68" s="282" t="str">
        <f>IF(INDEX(Predictions!$A$2:$AWV$3,2,$M$3+(ROW(A65)-1)*$M$4)="","",INDEX(Predictions!$A$2:$AWV$3,2,$M$3+(ROW(A65)-1)*$M$4))</f>
        <v/>
      </c>
      <c r="I68" s="283" t="str">
        <f>IF(INDEX(Predictions!$A$2:$AWV$3,2,$M$3+(ROW(A65)-1)*$M$4)="","",INDEX(Predictions!$A$2:$AWV$3,1,$M$3+(ROW(A65)-1)*$M$4))</f>
        <v/>
      </c>
      <c r="J68" s="281" t="str">
        <f t="shared" ref="J68:J99" si="7">IF(I68="","",RANK(I68,$I$4:$I$103,0)+ROW()*0.001)</f>
        <v/>
      </c>
    </row>
    <row r="69" spans="2:10">
      <c r="B69" s="276">
        <v>66</v>
      </c>
      <c r="C69" s="277" t="str">
        <f t="shared" ref="C69:C102" si="8">IFERROR(VLOOKUP(B69,$G$4:$H$103,2,0),"")</f>
        <v/>
      </c>
      <c r="D69" s="278" t="str">
        <f t="shared" ref="D69:D102" si="9">IFERROR(VLOOKUP(B69,$G$4:$I$103,3,0),"")</f>
        <v/>
      </c>
      <c r="E69" s="26"/>
      <c r="F69" s="26"/>
      <c r="G69" s="281" t="str">
        <f t="shared" si="6"/>
        <v/>
      </c>
      <c r="H69" s="282" t="str">
        <f>IF(INDEX(Predictions!$A$2:$AWV$3,2,$M$3+(ROW(A66)-1)*$M$4)="","",INDEX(Predictions!$A$2:$AWV$3,2,$M$3+(ROW(A66)-1)*$M$4))</f>
        <v/>
      </c>
      <c r="I69" s="283" t="str">
        <f>IF(INDEX(Predictions!$A$2:$AWV$3,2,$M$3+(ROW(A66)-1)*$M$4)="","",INDEX(Predictions!$A$2:$AWV$3,1,$M$3+(ROW(A66)-1)*$M$4))</f>
        <v/>
      </c>
      <c r="J69" s="281" t="str">
        <f t="shared" si="7"/>
        <v/>
      </c>
    </row>
    <row r="70" spans="2:10">
      <c r="B70" s="276">
        <v>67</v>
      </c>
      <c r="C70" s="277" t="str">
        <f t="shared" si="8"/>
        <v/>
      </c>
      <c r="D70" s="278" t="str">
        <f t="shared" si="9"/>
        <v/>
      </c>
      <c r="E70" s="26"/>
      <c r="F70" s="26"/>
      <c r="G70" s="281" t="str">
        <f t="shared" si="6"/>
        <v/>
      </c>
      <c r="H70" s="282" t="str">
        <f>IF(INDEX(Predictions!$A$2:$AWV$3,2,$M$3+(ROW(A67)-1)*$M$4)="","",INDEX(Predictions!$A$2:$AWV$3,2,$M$3+(ROW(A67)-1)*$M$4))</f>
        <v/>
      </c>
      <c r="I70" s="283" t="str">
        <f>IF(INDEX(Predictions!$A$2:$AWV$3,2,$M$3+(ROW(A67)-1)*$M$4)="","",INDEX(Predictions!$A$2:$AWV$3,1,$M$3+(ROW(A67)-1)*$M$4))</f>
        <v/>
      </c>
      <c r="J70" s="281" t="str">
        <f t="shared" si="7"/>
        <v/>
      </c>
    </row>
    <row r="71" spans="2:10">
      <c r="B71" s="276">
        <v>68</v>
      </c>
      <c r="C71" s="277" t="str">
        <f t="shared" si="8"/>
        <v/>
      </c>
      <c r="D71" s="278" t="str">
        <f t="shared" si="9"/>
        <v/>
      </c>
      <c r="E71" s="26"/>
      <c r="F71" s="26"/>
      <c r="G71" s="281" t="str">
        <f t="shared" si="6"/>
        <v/>
      </c>
      <c r="H71" s="282" t="str">
        <f>IF(INDEX(Predictions!$A$2:$AWV$3,2,$M$3+(ROW(A68)-1)*$M$4)="","",INDEX(Predictions!$A$2:$AWV$3,2,$M$3+(ROW(A68)-1)*$M$4))</f>
        <v/>
      </c>
      <c r="I71" s="283" t="str">
        <f>IF(INDEX(Predictions!$A$2:$AWV$3,2,$M$3+(ROW(A68)-1)*$M$4)="","",INDEX(Predictions!$A$2:$AWV$3,1,$M$3+(ROW(A68)-1)*$M$4))</f>
        <v/>
      </c>
      <c r="J71" s="281" t="str">
        <f t="shared" si="7"/>
        <v/>
      </c>
    </row>
    <row r="72" spans="2:10">
      <c r="B72" s="276">
        <v>69</v>
      </c>
      <c r="C72" s="277" t="str">
        <f t="shared" si="8"/>
        <v/>
      </c>
      <c r="D72" s="278" t="str">
        <f t="shared" si="9"/>
        <v/>
      </c>
      <c r="E72" s="26"/>
      <c r="F72" s="26"/>
      <c r="G72" s="281" t="str">
        <f t="shared" si="6"/>
        <v/>
      </c>
      <c r="H72" s="282" t="str">
        <f>IF(INDEX(Predictions!$A$2:$AWV$3,2,$M$3+(ROW(A69)-1)*$M$4)="","",INDEX(Predictions!$A$2:$AWV$3,2,$M$3+(ROW(A69)-1)*$M$4))</f>
        <v/>
      </c>
      <c r="I72" s="283" t="str">
        <f>IF(INDEX(Predictions!$A$2:$AWV$3,2,$M$3+(ROW(A69)-1)*$M$4)="","",INDEX(Predictions!$A$2:$AWV$3,1,$M$3+(ROW(A69)-1)*$M$4))</f>
        <v/>
      </c>
      <c r="J72" s="281" t="str">
        <f t="shared" si="7"/>
        <v/>
      </c>
    </row>
    <row r="73" spans="2:10">
      <c r="B73" s="276">
        <v>70</v>
      </c>
      <c r="C73" s="277" t="str">
        <f t="shared" si="8"/>
        <v/>
      </c>
      <c r="D73" s="278" t="str">
        <f t="shared" si="9"/>
        <v/>
      </c>
      <c r="E73" s="26"/>
      <c r="F73" s="26"/>
      <c r="G73" s="281" t="str">
        <f t="shared" si="6"/>
        <v/>
      </c>
      <c r="H73" s="282" t="str">
        <f>IF(INDEX(Predictions!$A$2:$AWV$3,2,$M$3+(ROW(A70)-1)*$M$4)="","",INDEX(Predictions!$A$2:$AWV$3,2,$M$3+(ROW(A70)-1)*$M$4))</f>
        <v/>
      </c>
      <c r="I73" s="283" t="str">
        <f>IF(INDEX(Predictions!$A$2:$AWV$3,2,$M$3+(ROW(A70)-1)*$M$4)="","",INDEX(Predictions!$A$2:$AWV$3,1,$M$3+(ROW(A70)-1)*$M$4))</f>
        <v/>
      </c>
      <c r="J73" s="281" t="str">
        <f t="shared" si="7"/>
        <v/>
      </c>
    </row>
    <row r="74" spans="2:10">
      <c r="B74" s="276">
        <v>71</v>
      </c>
      <c r="C74" s="277" t="str">
        <f t="shared" si="8"/>
        <v/>
      </c>
      <c r="D74" s="278" t="str">
        <f t="shared" si="9"/>
        <v/>
      </c>
      <c r="E74" s="26"/>
      <c r="F74" s="26"/>
      <c r="G74" s="281" t="str">
        <f t="shared" si="6"/>
        <v/>
      </c>
      <c r="H74" s="282" t="str">
        <f>IF(INDEX(Predictions!$A$2:$AWV$3,2,$M$3+(ROW(A71)-1)*$M$4)="","",INDEX(Predictions!$A$2:$AWV$3,2,$M$3+(ROW(A71)-1)*$M$4))</f>
        <v/>
      </c>
      <c r="I74" s="283" t="str">
        <f>IF(INDEX(Predictions!$A$2:$AWV$3,2,$M$3+(ROW(A71)-1)*$M$4)="","",INDEX(Predictions!$A$2:$AWV$3,1,$M$3+(ROW(A71)-1)*$M$4))</f>
        <v/>
      </c>
      <c r="J74" s="281" t="str">
        <f t="shared" si="7"/>
        <v/>
      </c>
    </row>
    <row r="75" spans="2:10">
      <c r="B75" s="276">
        <v>72</v>
      </c>
      <c r="C75" s="277" t="str">
        <f t="shared" si="8"/>
        <v/>
      </c>
      <c r="D75" s="278" t="str">
        <f t="shared" si="9"/>
        <v/>
      </c>
      <c r="E75" s="26"/>
      <c r="F75" s="26"/>
      <c r="G75" s="281" t="str">
        <f t="shared" si="6"/>
        <v/>
      </c>
      <c r="H75" s="282" t="str">
        <f>IF(INDEX(Predictions!$A$2:$AWV$3,2,$M$3+(ROW(A72)-1)*$M$4)="","",INDEX(Predictions!$A$2:$AWV$3,2,$M$3+(ROW(A72)-1)*$M$4))</f>
        <v/>
      </c>
      <c r="I75" s="283" t="str">
        <f>IF(INDEX(Predictions!$A$2:$AWV$3,2,$M$3+(ROW(A72)-1)*$M$4)="","",INDEX(Predictions!$A$2:$AWV$3,1,$M$3+(ROW(A72)-1)*$M$4))</f>
        <v/>
      </c>
      <c r="J75" s="281" t="str">
        <f t="shared" si="7"/>
        <v/>
      </c>
    </row>
    <row r="76" spans="2:10">
      <c r="B76" s="276">
        <v>73</v>
      </c>
      <c r="C76" s="277" t="str">
        <f t="shared" si="8"/>
        <v/>
      </c>
      <c r="D76" s="278" t="str">
        <f t="shared" si="9"/>
        <v/>
      </c>
      <c r="E76" s="26"/>
      <c r="F76" s="26"/>
      <c r="G76" s="281" t="str">
        <f t="shared" si="6"/>
        <v/>
      </c>
      <c r="H76" s="282" t="str">
        <f>IF(INDEX(Predictions!$A$2:$AWV$3,2,$M$3+(ROW(A73)-1)*$M$4)="","",INDEX(Predictions!$A$2:$AWV$3,2,$M$3+(ROW(A73)-1)*$M$4))</f>
        <v/>
      </c>
      <c r="I76" s="283" t="str">
        <f>IF(INDEX(Predictions!$A$2:$AWV$3,2,$M$3+(ROW(A73)-1)*$M$4)="","",INDEX(Predictions!$A$2:$AWV$3,1,$M$3+(ROW(A73)-1)*$M$4))</f>
        <v/>
      </c>
      <c r="J76" s="281" t="str">
        <f t="shared" si="7"/>
        <v/>
      </c>
    </row>
    <row r="77" spans="2:10">
      <c r="B77" s="276">
        <v>74</v>
      </c>
      <c r="C77" s="277" t="str">
        <f t="shared" si="8"/>
        <v/>
      </c>
      <c r="D77" s="278" t="str">
        <f t="shared" si="9"/>
        <v/>
      </c>
      <c r="E77" s="26"/>
      <c r="F77" s="26"/>
      <c r="G77" s="281" t="str">
        <f t="shared" si="6"/>
        <v/>
      </c>
      <c r="H77" s="282" t="str">
        <f>IF(INDEX(Predictions!$A$2:$AWV$3,2,$M$3+(ROW(A74)-1)*$M$4)="","",INDEX(Predictions!$A$2:$AWV$3,2,$M$3+(ROW(A74)-1)*$M$4))</f>
        <v/>
      </c>
      <c r="I77" s="283" t="str">
        <f>IF(INDEX(Predictions!$A$2:$AWV$3,2,$M$3+(ROW(A74)-1)*$M$4)="","",INDEX(Predictions!$A$2:$AWV$3,1,$M$3+(ROW(A74)-1)*$M$4))</f>
        <v/>
      </c>
      <c r="J77" s="281" t="str">
        <f t="shared" si="7"/>
        <v/>
      </c>
    </row>
    <row r="78" spans="2:10">
      <c r="B78" s="276">
        <v>75</v>
      </c>
      <c r="C78" s="277" t="str">
        <f t="shared" si="8"/>
        <v/>
      </c>
      <c r="D78" s="278" t="str">
        <f t="shared" si="9"/>
        <v/>
      </c>
      <c r="E78" s="26"/>
      <c r="F78" s="26"/>
      <c r="G78" s="281" t="str">
        <f t="shared" si="6"/>
        <v/>
      </c>
      <c r="H78" s="282" t="str">
        <f>IF(INDEX(Predictions!$A$2:$AWV$3,2,$M$3+(ROW(A75)-1)*$M$4)="","",INDEX(Predictions!$A$2:$AWV$3,2,$M$3+(ROW(A75)-1)*$M$4))</f>
        <v/>
      </c>
      <c r="I78" s="283" t="str">
        <f>IF(INDEX(Predictions!$A$2:$AWV$3,2,$M$3+(ROW(A75)-1)*$M$4)="","",INDEX(Predictions!$A$2:$AWV$3,1,$M$3+(ROW(A75)-1)*$M$4))</f>
        <v/>
      </c>
      <c r="J78" s="281" t="str">
        <f t="shared" si="7"/>
        <v/>
      </c>
    </row>
    <row r="79" spans="2:10">
      <c r="B79" s="276">
        <v>76</v>
      </c>
      <c r="C79" s="277" t="str">
        <f t="shared" si="8"/>
        <v/>
      </c>
      <c r="D79" s="278" t="str">
        <f t="shared" si="9"/>
        <v/>
      </c>
      <c r="E79" s="26"/>
      <c r="F79" s="26"/>
      <c r="G79" s="281" t="str">
        <f t="shared" si="6"/>
        <v/>
      </c>
      <c r="H79" s="282" t="str">
        <f>IF(INDEX(Predictions!$A$2:$AWV$3,2,$M$3+(ROW(A76)-1)*$M$4)="","",INDEX(Predictions!$A$2:$AWV$3,2,$M$3+(ROW(A76)-1)*$M$4))</f>
        <v/>
      </c>
      <c r="I79" s="283" t="str">
        <f>IF(INDEX(Predictions!$A$2:$AWV$3,2,$M$3+(ROW(A76)-1)*$M$4)="","",INDEX(Predictions!$A$2:$AWV$3,1,$M$3+(ROW(A76)-1)*$M$4))</f>
        <v/>
      </c>
      <c r="J79" s="281" t="str">
        <f t="shared" si="7"/>
        <v/>
      </c>
    </row>
    <row r="80" spans="2:10">
      <c r="B80" s="276">
        <v>77</v>
      </c>
      <c r="C80" s="277" t="str">
        <f t="shared" si="8"/>
        <v/>
      </c>
      <c r="D80" s="278" t="str">
        <f t="shared" si="9"/>
        <v/>
      </c>
      <c r="E80" s="26"/>
      <c r="F80" s="26"/>
      <c r="G80" s="281" t="str">
        <f t="shared" si="6"/>
        <v/>
      </c>
      <c r="H80" s="282" t="str">
        <f>IF(INDEX(Predictions!$A$2:$AWV$3,2,$M$3+(ROW(A77)-1)*$M$4)="","",INDEX(Predictions!$A$2:$AWV$3,2,$M$3+(ROW(A77)-1)*$M$4))</f>
        <v/>
      </c>
      <c r="I80" s="283" t="str">
        <f>IF(INDEX(Predictions!$A$2:$AWV$3,2,$M$3+(ROW(A77)-1)*$M$4)="","",INDEX(Predictions!$A$2:$AWV$3,1,$M$3+(ROW(A77)-1)*$M$4))</f>
        <v/>
      </c>
      <c r="J80" s="281" t="str">
        <f t="shared" si="7"/>
        <v/>
      </c>
    </row>
    <row r="81" spans="2:10">
      <c r="B81" s="276">
        <v>78</v>
      </c>
      <c r="C81" s="277" t="str">
        <f t="shared" si="8"/>
        <v/>
      </c>
      <c r="D81" s="278" t="str">
        <f t="shared" si="9"/>
        <v/>
      </c>
      <c r="E81" s="26"/>
      <c r="F81" s="26"/>
      <c r="G81" s="281" t="str">
        <f t="shared" si="6"/>
        <v/>
      </c>
      <c r="H81" s="282" t="str">
        <f>IF(INDEX(Predictions!$A$2:$AWV$3,2,$M$3+(ROW(A78)-1)*$M$4)="","",INDEX(Predictions!$A$2:$AWV$3,2,$M$3+(ROW(A78)-1)*$M$4))</f>
        <v/>
      </c>
      <c r="I81" s="283" t="str">
        <f>IF(INDEX(Predictions!$A$2:$AWV$3,2,$M$3+(ROW(A78)-1)*$M$4)="","",INDEX(Predictions!$A$2:$AWV$3,1,$M$3+(ROW(A78)-1)*$M$4))</f>
        <v/>
      </c>
      <c r="J81" s="281" t="str">
        <f t="shared" si="7"/>
        <v/>
      </c>
    </row>
    <row r="82" spans="2:10">
      <c r="B82" s="276">
        <v>79</v>
      </c>
      <c r="C82" s="277" t="str">
        <f t="shared" si="8"/>
        <v/>
      </c>
      <c r="D82" s="278" t="str">
        <f t="shared" si="9"/>
        <v/>
      </c>
      <c r="E82" s="26"/>
      <c r="F82" s="26"/>
      <c r="G82" s="281" t="str">
        <f t="shared" si="6"/>
        <v/>
      </c>
      <c r="H82" s="282" t="str">
        <f>IF(INDEX(Predictions!$A$2:$AWV$3,2,$M$3+(ROW(A79)-1)*$M$4)="","",INDEX(Predictions!$A$2:$AWV$3,2,$M$3+(ROW(A79)-1)*$M$4))</f>
        <v/>
      </c>
      <c r="I82" s="283" t="str">
        <f>IF(INDEX(Predictions!$A$2:$AWV$3,2,$M$3+(ROW(A79)-1)*$M$4)="","",INDEX(Predictions!$A$2:$AWV$3,1,$M$3+(ROW(A79)-1)*$M$4))</f>
        <v/>
      </c>
      <c r="J82" s="281" t="str">
        <f t="shared" si="7"/>
        <v/>
      </c>
    </row>
    <row r="83" spans="2:10">
      <c r="B83" s="276">
        <v>80</v>
      </c>
      <c r="C83" s="277" t="str">
        <f t="shared" si="8"/>
        <v/>
      </c>
      <c r="D83" s="278" t="str">
        <f t="shared" si="9"/>
        <v/>
      </c>
      <c r="E83" s="26"/>
      <c r="F83" s="26"/>
      <c r="G83" s="281" t="str">
        <f t="shared" si="6"/>
        <v/>
      </c>
      <c r="H83" s="282" t="str">
        <f>IF(INDEX(Predictions!$A$2:$AWV$3,2,$M$3+(ROW(A80)-1)*$M$4)="","",INDEX(Predictions!$A$2:$AWV$3,2,$M$3+(ROW(A80)-1)*$M$4))</f>
        <v/>
      </c>
      <c r="I83" s="283" t="str">
        <f>IF(INDEX(Predictions!$A$2:$AWV$3,2,$M$3+(ROW(A80)-1)*$M$4)="","",INDEX(Predictions!$A$2:$AWV$3,1,$M$3+(ROW(A80)-1)*$M$4))</f>
        <v/>
      </c>
      <c r="J83" s="281" t="str">
        <f t="shared" si="7"/>
        <v/>
      </c>
    </row>
    <row r="84" spans="2:10">
      <c r="B84" s="276">
        <v>81</v>
      </c>
      <c r="C84" s="277" t="str">
        <f t="shared" si="8"/>
        <v/>
      </c>
      <c r="D84" s="278" t="str">
        <f t="shared" si="9"/>
        <v/>
      </c>
      <c r="E84" s="26"/>
      <c r="F84" s="26"/>
      <c r="G84" s="281" t="str">
        <f t="shared" si="6"/>
        <v/>
      </c>
      <c r="H84" s="282" t="str">
        <f>IF(INDEX(Predictions!$A$2:$AWV$3,2,$M$3+(ROW(A81)-1)*$M$4)="","",INDEX(Predictions!$A$2:$AWV$3,2,$M$3+(ROW(A81)-1)*$M$4))</f>
        <v/>
      </c>
      <c r="I84" s="283" t="str">
        <f>IF(INDEX(Predictions!$A$2:$AWV$3,2,$M$3+(ROW(A81)-1)*$M$4)="","",INDEX(Predictions!$A$2:$AWV$3,1,$M$3+(ROW(A81)-1)*$M$4))</f>
        <v/>
      </c>
      <c r="J84" s="281" t="str">
        <f t="shared" si="7"/>
        <v/>
      </c>
    </row>
    <row r="85" spans="2:10">
      <c r="B85" s="276">
        <v>82</v>
      </c>
      <c r="C85" s="277" t="str">
        <f t="shared" si="8"/>
        <v/>
      </c>
      <c r="D85" s="278" t="str">
        <f t="shared" si="9"/>
        <v/>
      </c>
      <c r="E85" s="26"/>
      <c r="F85" s="26"/>
      <c r="G85" s="281" t="str">
        <f t="shared" si="6"/>
        <v/>
      </c>
      <c r="H85" s="282" t="str">
        <f>IF(INDEX(Predictions!$A$2:$AWV$3,2,$M$3+(ROW(A82)-1)*$M$4)="","",INDEX(Predictions!$A$2:$AWV$3,2,$M$3+(ROW(A82)-1)*$M$4))</f>
        <v/>
      </c>
      <c r="I85" s="283" t="str">
        <f>IF(INDEX(Predictions!$A$2:$AWV$3,2,$M$3+(ROW(A82)-1)*$M$4)="","",INDEX(Predictions!$A$2:$AWV$3,1,$M$3+(ROW(A82)-1)*$M$4))</f>
        <v/>
      </c>
      <c r="J85" s="281" t="str">
        <f t="shared" si="7"/>
        <v/>
      </c>
    </row>
    <row r="86" spans="2:10">
      <c r="B86" s="276">
        <v>83</v>
      </c>
      <c r="C86" s="277" t="str">
        <f t="shared" si="8"/>
        <v/>
      </c>
      <c r="D86" s="278" t="str">
        <f t="shared" si="9"/>
        <v/>
      </c>
      <c r="E86" s="26"/>
      <c r="F86" s="26"/>
      <c r="G86" s="281" t="str">
        <f t="shared" si="6"/>
        <v/>
      </c>
      <c r="H86" s="282" t="str">
        <f>IF(INDEX(Predictions!$A$2:$AWV$3,2,$M$3+(ROW(A83)-1)*$M$4)="","",INDEX(Predictions!$A$2:$AWV$3,2,$M$3+(ROW(A83)-1)*$M$4))</f>
        <v/>
      </c>
      <c r="I86" s="283" t="str">
        <f>IF(INDEX(Predictions!$A$2:$AWV$3,2,$M$3+(ROW(A83)-1)*$M$4)="","",INDEX(Predictions!$A$2:$AWV$3,1,$M$3+(ROW(A83)-1)*$M$4))</f>
        <v/>
      </c>
      <c r="J86" s="281" t="str">
        <f t="shared" si="7"/>
        <v/>
      </c>
    </row>
    <row r="87" spans="2:10">
      <c r="B87" s="276">
        <v>84</v>
      </c>
      <c r="C87" s="277" t="str">
        <f t="shared" si="8"/>
        <v/>
      </c>
      <c r="D87" s="278" t="str">
        <f t="shared" si="9"/>
        <v/>
      </c>
      <c r="E87" s="26"/>
      <c r="F87" s="26"/>
      <c r="G87" s="281" t="str">
        <f t="shared" si="6"/>
        <v/>
      </c>
      <c r="H87" s="282" t="str">
        <f>IF(INDEX(Predictions!$A$2:$AWV$3,2,$M$3+(ROW(A84)-1)*$M$4)="","",INDEX(Predictions!$A$2:$AWV$3,2,$M$3+(ROW(A84)-1)*$M$4))</f>
        <v/>
      </c>
      <c r="I87" s="283" t="str">
        <f>IF(INDEX(Predictions!$A$2:$AWV$3,2,$M$3+(ROW(A84)-1)*$M$4)="","",INDEX(Predictions!$A$2:$AWV$3,1,$M$3+(ROW(A84)-1)*$M$4))</f>
        <v/>
      </c>
      <c r="J87" s="281" t="str">
        <f t="shared" si="7"/>
        <v/>
      </c>
    </row>
    <row r="88" spans="2:10">
      <c r="B88" s="276">
        <v>85</v>
      </c>
      <c r="C88" s="277" t="str">
        <f t="shared" si="8"/>
        <v/>
      </c>
      <c r="D88" s="278" t="str">
        <f t="shared" si="9"/>
        <v/>
      </c>
      <c r="E88" s="26"/>
      <c r="F88" s="26"/>
      <c r="G88" s="281" t="str">
        <f t="shared" si="6"/>
        <v/>
      </c>
      <c r="H88" s="282" t="str">
        <f>IF(INDEX(Predictions!$A$2:$AWV$3,2,$M$3+(ROW(A85)-1)*$M$4)="","",INDEX(Predictions!$A$2:$AWV$3,2,$M$3+(ROW(A85)-1)*$M$4))</f>
        <v/>
      </c>
      <c r="I88" s="283" t="str">
        <f>IF(INDEX(Predictions!$A$2:$AWV$3,2,$M$3+(ROW(A85)-1)*$M$4)="","",INDEX(Predictions!$A$2:$AWV$3,1,$M$3+(ROW(A85)-1)*$M$4))</f>
        <v/>
      </c>
      <c r="J88" s="281" t="str">
        <f t="shared" si="7"/>
        <v/>
      </c>
    </row>
    <row r="89" spans="2:10">
      <c r="B89" s="276">
        <v>86</v>
      </c>
      <c r="C89" s="277" t="str">
        <f t="shared" si="8"/>
        <v/>
      </c>
      <c r="D89" s="278" t="str">
        <f t="shared" si="9"/>
        <v/>
      </c>
      <c r="E89" s="26"/>
      <c r="F89" s="26"/>
      <c r="G89" s="281" t="str">
        <f t="shared" si="6"/>
        <v/>
      </c>
      <c r="H89" s="282" t="str">
        <f>IF(INDEX(Predictions!$A$2:$AWV$3,2,$M$3+(ROW(A86)-1)*$M$4)="","",INDEX(Predictions!$A$2:$AWV$3,2,$M$3+(ROW(A86)-1)*$M$4))</f>
        <v/>
      </c>
      <c r="I89" s="283" t="str">
        <f>IF(INDEX(Predictions!$A$2:$AWV$3,2,$M$3+(ROW(A86)-1)*$M$4)="","",INDEX(Predictions!$A$2:$AWV$3,1,$M$3+(ROW(A86)-1)*$M$4))</f>
        <v/>
      </c>
      <c r="J89" s="281" t="str">
        <f t="shared" si="7"/>
        <v/>
      </c>
    </row>
    <row r="90" spans="2:10">
      <c r="B90" s="276">
        <v>87</v>
      </c>
      <c r="C90" s="277" t="str">
        <f t="shared" si="8"/>
        <v/>
      </c>
      <c r="D90" s="278" t="str">
        <f t="shared" si="9"/>
        <v/>
      </c>
      <c r="E90" s="26"/>
      <c r="F90" s="26"/>
      <c r="G90" s="281" t="str">
        <f t="shared" si="6"/>
        <v/>
      </c>
      <c r="H90" s="282" t="str">
        <f>IF(INDEX(Predictions!$A$2:$AWV$3,2,$M$3+(ROW(A87)-1)*$M$4)="","",INDEX(Predictions!$A$2:$AWV$3,2,$M$3+(ROW(A87)-1)*$M$4))</f>
        <v/>
      </c>
      <c r="I90" s="283" t="str">
        <f>IF(INDEX(Predictions!$A$2:$AWV$3,2,$M$3+(ROW(A87)-1)*$M$4)="","",INDEX(Predictions!$A$2:$AWV$3,1,$M$3+(ROW(A87)-1)*$M$4))</f>
        <v/>
      </c>
      <c r="J90" s="281" t="str">
        <f t="shared" si="7"/>
        <v/>
      </c>
    </row>
    <row r="91" spans="2:10">
      <c r="B91" s="276">
        <v>88</v>
      </c>
      <c r="C91" s="277" t="str">
        <f t="shared" si="8"/>
        <v/>
      </c>
      <c r="D91" s="278" t="str">
        <f t="shared" si="9"/>
        <v/>
      </c>
      <c r="E91" s="26"/>
      <c r="F91" s="26"/>
      <c r="G91" s="281" t="str">
        <f t="shared" si="6"/>
        <v/>
      </c>
      <c r="H91" s="282" t="str">
        <f>IF(INDEX(Predictions!$A$2:$AWV$3,2,$M$3+(ROW(A88)-1)*$M$4)="","",INDEX(Predictions!$A$2:$AWV$3,2,$M$3+(ROW(A88)-1)*$M$4))</f>
        <v/>
      </c>
      <c r="I91" s="283" t="str">
        <f>IF(INDEX(Predictions!$A$2:$AWV$3,2,$M$3+(ROW(A88)-1)*$M$4)="","",INDEX(Predictions!$A$2:$AWV$3,1,$M$3+(ROW(A88)-1)*$M$4))</f>
        <v/>
      </c>
      <c r="J91" s="281" t="str">
        <f t="shared" si="7"/>
        <v/>
      </c>
    </row>
    <row r="92" spans="2:10">
      <c r="B92" s="276">
        <v>89</v>
      </c>
      <c r="C92" s="277" t="str">
        <f t="shared" si="8"/>
        <v/>
      </c>
      <c r="D92" s="278" t="str">
        <f t="shared" si="9"/>
        <v/>
      </c>
      <c r="E92" s="26"/>
      <c r="F92" s="26"/>
      <c r="G92" s="281" t="str">
        <f t="shared" si="6"/>
        <v/>
      </c>
      <c r="H92" s="282" t="str">
        <f>IF(INDEX(Predictions!$A$2:$AWV$3,2,$M$3+(ROW(A89)-1)*$M$4)="","",INDEX(Predictions!$A$2:$AWV$3,2,$M$3+(ROW(A89)-1)*$M$4))</f>
        <v/>
      </c>
      <c r="I92" s="283" t="str">
        <f>IF(INDEX(Predictions!$A$2:$AWV$3,2,$M$3+(ROW(A89)-1)*$M$4)="","",INDEX(Predictions!$A$2:$AWV$3,1,$M$3+(ROW(A89)-1)*$M$4))</f>
        <v/>
      </c>
      <c r="J92" s="281" t="str">
        <f t="shared" si="7"/>
        <v/>
      </c>
    </row>
    <row r="93" spans="2:10">
      <c r="B93" s="276">
        <v>90</v>
      </c>
      <c r="C93" s="277" t="str">
        <f t="shared" si="8"/>
        <v/>
      </c>
      <c r="D93" s="278" t="str">
        <f t="shared" si="9"/>
        <v/>
      </c>
      <c r="E93" s="26"/>
      <c r="F93" s="26"/>
      <c r="G93" s="281" t="str">
        <f t="shared" si="6"/>
        <v/>
      </c>
      <c r="H93" s="282" t="str">
        <f>IF(INDEX(Predictions!$A$2:$AWV$3,2,$M$3+(ROW(A90)-1)*$M$4)="","",INDEX(Predictions!$A$2:$AWV$3,2,$M$3+(ROW(A90)-1)*$M$4))</f>
        <v/>
      </c>
      <c r="I93" s="283" t="str">
        <f>IF(INDEX(Predictions!$A$2:$AWV$3,2,$M$3+(ROW(A90)-1)*$M$4)="","",INDEX(Predictions!$A$2:$AWV$3,1,$M$3+(ROW(A90)-1)*$M$4))</f>
        <v/>
      </c>
      <c r="J93" s="281" t="str">
        <f t="shared" si="7"/>
        <v/>
      </c>
    </row>
    <row r="94" spans="2:10">
      <c r="B94" s="276">
        <v>91</v>
      </c>
      <c r="C94" s="277" t="str">
        <f t="shared" si="8"/>
        <v/>
      </c>
      <c r="D94" s="278" t="str">
        <f t="shared" si="9"/>
        <v/>
      </c>
      <c r="E94" s="26"/>
      <c r="F94" s="26"/>
      <c r="G94" s="281" t="str">
        <f t="shared" si="6"/>
        <v/>
      </c>
      <c r="H94" s="282" t="str">
        <f>IF(INDEX(Predictions!$A$2:$AWV$3,2,$M$3+(ROW(A91)-1)*$M$4)="","",INDEX(Predictions!$A$2:$AWV$3,2,$M$3+(ROW(A91)-1)*$M$4))</f>
        <v/>
      </c>
      <c r="I94" s="283" t="str">
        <f>IF(INDEX(Predictions!$A$2:$AWV$3,2,$M$3+(ROW(A91)-1)*$M$4)="","",INDEX(Predictions!$A$2:$AWV$3,1,$M$3+(ROW(A91)-1)*$M$4))</f>
        <v/>
      </c>
      <c r="J94" s="281" t="str">
        <f t="shared" si="7"/>
        <v/>
      </c>
    </row>
    <row r="95" spans="2:10">
      <c r="B95" s="276">
        <v>92</v>
      </c>
      <c r="C95" s="277" t="str">
        <f t="shared" si="8"/>
        <v/>
      </c>
      <c r="D95" s="278" t="str">
        <f t="shared" si="9"/>
        <v/>
      </c>
      <c r="E95" s="26"/>
      <c r="F95" s="26"/>
      <c r="G95" s="281" t="str">
        <f t="shared" si="6"/>
        <v/>
      </c>
      <c r="H95" s="282" t="str">
        <f>IF(INDEX(Predictions!$A$2:$AWV$3,2,$M$3+(ROW(A92)-1)*$M$4)="","",INDEX(Predictions!$A$2:$AWV$3,2,$M$3+(ROW(A92)-1)*$M$4))</f>
        <v/>
      </c>
      <c r="I95" s="283" t="str">
        <f>IF(INDEX(Predictions!$A$2:$AWV$3,2,$M$3+(ROW(A92)-1)*$M$4)="","",INDEX(Predictions!$A$2:$AWV$3,1,$M$3+(ROW(A92)-1)*$M$4))</f>
        <v/>
      </c>
      <c r="J95" s="281" t="str">
        <f t="shared" si="7"/>
        <v/>
      </c>
    </row>
    <row r="96" spans="2:10">
      <c r="B96" s="276">
        <v>93</v>
      </c>
      <c r="C96" s="277" t="str">
        <f t="shared" si="8"/>
        <v/>
      </c>
      <c r="D96" s="278" t="str">
        <f t="shared" si="9"/>
        <v/>
      </c>
      <c r="E96" s="26"/>
      <c r="F96" s="26"/>
      <c r="G96" s="281" t="str">
        <f t="shared" si="6"/>
        <v/>
      </c>
      <c r="H96" s="282" t="str">
        <f>IF(INDEX(Predictions!$A$2:$AWV$3,2,$M$3+(ROW(A93)-1)*$M$4)="","",INDEX(Predictions!$A$2:$AWV$3,2,$M$3+(ROW(A93)-1)*$M$4))</f>
        <v/>
      </c>
      <c r="I96" s="283" t="str">
        <f>IF(INDEX(Predictions!$A$2:$AWV$3,2,$M$3+(ROW(A93)-1)*$M$4)="","",INDEX(Predictions!$A$2:$AWV$3,1,$M$3+(ROW(A93)-1)*$M$4))</f>
        <v/>
      </c>
      <c r="J96" s="281" t="str">
        <f t="shared" si="7"/>
        <v/>
      </c>
    </row>
    <row r="97" spans="2:10">
      <c r="B97" s="276">
        <v>94</v>
      </c>
      <c r="C97" s="277" t="str">
        <f t="shared" si="8"/>
        <v/>
      </c>
      <c r="D97" s="278" t="str">
        <f t="shared" si="9"/>
        <v/>
      </c>
      <c r="E97" s="26"/>
      <c r="F97" s="26"/>
      <c r="G97" s="281" t="str">
        <f t="shared" si="6"/>
        <v/>
      </c>
      <c r="H97" s="282" t="str">
        <f>IF(INDEX(Predictions!$A$2:$AWV$3,2,$M$3+(ROW(A94)-1)*$M$4)="","",INDEX(Predictions!$A$2:$AWV$3,2,$M$3+(ROW(A94)-1)*$M$4))</f>
        <v/>
      </c>
      <c r="I97" s="283" t="str">
        <f>IF(INDEX(Predictions!$A$2:$AWV$3,2,$M$3+(ROW(A94)-1)*$M$4)="","",INDEX(Predictions!$A$2:$AWV$3,1,$M$3+(ROW(A94)-1)*$M$4))</f>
        <v/>
      </c>
      <c r="J97" s="281" t="str">
        <f t="shared" si="7"/>
        <v/>
      </c>
    </row>
    <row r="98" spans="2:10">
      <c r="B98" s="276">
        <v>95</v>
      </c>
      <c r="C98" s="277" t="str">
        <f t="shared" si="8"/>
        <v/>
      </c>
      <c r="D98" s="278" t="str">
        <f t="shared" si="9"/>
        <v/>
      </c>
      <c r="E98" s="26"/>
      <c r="F98" s="26"/>
      <c r="G98" s="281" t="str">
        <f t="shared" si="6"/>
        <v/>
      </c>
      <c r="H98" s="282" t="str">
        <f>IF(INDEX(Predictions!$A$2:$AWV$3,2,$M$3+(ROW(A95)-1)*$M$4)="","",INDEX(Predictions!$A$2:$AWV$3,2,$M$3+(ROW(A95)-1)*$M$4))</f>
        <v/>
      </c>
      <c r="I98" s="283" t="str">
        <f>IF(INDEX(Predictions!$A$2:$AWV$3,2,$M$3+(ROW(A95)-1)*$M$4)="","",INDEX(Predictions!$A$2:$AWV$3,1,$M$3+(ROW(A95)-1)*$M$4))</f>
        <v/>
      </c>
      <c r="J98" s="281" t="str">
        <f t="shared" si="7"/>
        <v/>
      </c>
    </row>
    <row r="99" spans="2:10">
      <c r="B99" s="276">
        <v>96</v>
      </c>
      <c r="C99" s="277" t="str">
        <f t="shared" si="8"/>
        <v/>
      </c>
      <c r="D99" s="278" t="str">
        <f t="shared" si="9"/>
        <v/>
      </c>
      <c r="E99" s="26"/>
      <c r="F99" s="26"/>
      <c r="G99" s="281" t="str">
        <f t="shared" si="6"/>
        <v/>
      </c>
      <c r="H99" s="282" t="str">
        <f>IF(INDEX(Predictions!$A$2:$AWV$3,2,$M$3+(ROW(A96)-1)*$M$4)="","",INDEX(Predictions!$A$2:$AWV$3,2,$M$3+(ROW(A96)-1)*$M$4))</f>
        <v/>
      </c>
      <c r="I99" s="283" t="str">
        <f>IF(INDEX(Predictions!$A$2:$AWV$3,2,$M$3+(ROW(A96)-1)*$M$4)="","",INDEX(Predictions!$A$2:$AWV$3,1,$M$3+(ROW(A96)-1)*$M$4))</f>
        <v/>
      </c>
      <c r="J99" s="281" t="str">
        <f t="shared" si="7"/>
        <v/>
      </c>
    </row>
    <row r="100" spans="2:10">
      <c r="B100" s="276">
        <v>97</v>
      </c>
      <c r="C100" s="277" t="str">
        <f t="shared" si="8"/>
        <v/>
      </c>
      <c r="D100" s="278" t="str">
        <f t="shared" si="9"/>
        <v/>
      </c>
      <c r="E100" s="26"/>
      <c r="F100" s="26"/>
      <c r="G100" s="281" t="str">
        <f t="shared" si="6"/>
        <v/>
      </c>
      <c r="H100" s="282" t="str">
        <f>IF(INDEX(Predictions!$A$2:$AWV$3,2,$M$3+(ROW(A97)-1)*$M$4)="","",INDEX(Predictions!$A$2:$AWV$3,2,$M$3+(ROW(A97)-1)*$M$4))</f>
        <v/>
      </c>
      <c r="I100" s="283" t="str">
        <f>IF(INDEX(Predictions!$A$2:$AWV$3,2,$M$3+(ROW(A97)-1)*$M$4)="","",INDEX(Predictions!$A$2:$AWV$3,1,$M$3+(ROW(A97)-1)*$M$4))</f>
        <v/>
      </c>
      <c r="J100" s="281" t="str">
        <f t="shared" ref="J100:J103" si="10">IF(I100="","",RANK(I100,$I$4:$I$103,0)+ROW()*0.001)</f>
        <v/>
      </c>
    </row>
    <row r="101" spans="2:10">
      <c r="B101" s="276">
        <v>98</v>
      </c>
      <c r="C101" s="277" t="str">
        <f t="shared" si="8"/>
        <v/>
      </c>
      <c r="D101" s="278" t="str">
        <f t="shared" si="9"/>
        <v/>
      </c>
      <c r="E101" s="26"/>
      <c r="F101" s="26"/>
      <c r="G101" s="281" t="str">
        <f t="shared" si="6"/>
        <v/>
      </c>
      <c r="H101" s="282" t="str">
        <f>IF(INDEX(Predictions!$A$2:$AWV$3,2,$M$3+(ROW(A98)-1)*$M$4)="","",INDEX(Predictions!$A$2:$AWV$3,2,$M$3+(ROW(A98)-1)*$M$4))</f>
        <v/>
      </c>
      <c r="I101" s="283" t="str">
        <f>IF(INDEX(Predictions!$A$2:$AWV$3,2,$M$3+(ROW(A98)-1)*$M$4)="","",INDEX(Predictions!$A$2:$AWV$3,1,$M$3+(ROW(A98)-1)*$M$4))</f>
        <v/>
      </c>
      <c r="J101" s="281" t="str">
        <f t="shared" si="10"/>
        <v/>
      </c>
    </row>
    <row r="102" spans="2:10">
      <c r="B102" s="276">
        <v>99</v>
      </c>
      <c r="C102" s="277" t="str">
        <f t="shared" si="8"/>
        <v/>
      </c>
      <c r="D102" s="278" t="str">
        <f t="shared" si="9"/>
        <v/>
      </c>
      <c r="E102" s="26"/>
      <c r="F102" s="26"/>
      <c r="G102" s="281" t="str">
        <f t="shared" si="6"/>
        <v/>
      </c>
      <c r="H102" s="282" t="str">
        <f>IF(INDEX(Predictions!$A$2:$AWV$3,2,$M$3+(ROW(A99)-1)*$M$4)="","",INDEX(Predictions!$A$2:$AWV$3,2,$M$3+(ROW(A99)-1)*$M$4))</f>
        <v/>
      </c>
      <c r="I102" s="283" t="str">
        <f>IF(INDEX(Predictions!$A$2:$AWV$3,2,$M$3+(ROW(A99)-1)*$M$4)="","",INDEX(Predictions!$A$2:$AWV$3,1,$M$3+(ROW(A99)-1)*$M$4))</f>
        <v/>
      </c>
      <c r="J102" s="281" t="str">
        <f t="shared" si="10"/>
        <v/>
      </c>
    </row>
    <row r="103" spans="2:10" ht="15" thickBot="1">
      <c r="B103" s="317">
        <v>100</v>
      </c>
      <c r="C103" s="318" t="str">
        <f>IFERROR(VLOOKUP(B103,$G$4:$H$103,2,0),"")</f>
        <v/>
      </c>
      <c r="D103" s="319" t="str">
        <f>IFERROR(VLOOKUP(B103,$G$4:$I$103,3,0),"")</f>
        <v/>
      </c>
      <c r="E103" s="320"/>
      <c r="F103" s="321"/>
      <c r="G103" s="285" t="str">
        <f t="shared" si="6"/>
        <v/>
      </c>
      <c r="H103" s="286" t="str">
        <f>IF(INDEX(Predictions!$A$2:$AWV$3,2,$M$3+(ROW(A100)-1)*$M$4)="","",INDEX(Predictions!$A$2:$AWV$3,2,$M$3+(ROW(A100)-1)*$M$4))</f>
        <v/>
      </c>
      <c r="I103" s="284" t="str">
        <f>IF(INDEX(Predictions!$A$2:$AWV$3,2,$M$3+(ROW(A100)-1)*$M$4)="","",INDEX(Predictions!$A$2:$AWV$3,1,$M$3+(ROW(A100)-1)*$M$4))</f>
        <v/>
      </c>
      <c r="J103" s="285" t="str">
        <f t="shared" si="10"/>
        <v/>
      </c>
    </row>
    <row r="104" spans="2:10" ht="15" thickTop="1"/>
    <row r="105"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53125" defaultRowHeight="15.5"/>
  <cols>
    <col min="1" max="1" width="3.26953125" style="193" customWidth="1"/>
    <col min="2" max="2" width="4.7265625" style="193" customWidth="1"/>
    <col min="3" max="3" width="15.7265625" customWidth="1"/>
    <col min="4" max="4" width="4.7265625" customWidth="1"/>
    <col min="5" max="5" width="15.7265625" customWidth="1"/>
    <col min="6" max="7" width="4.7265625" style="19" customWidth="1"/>
    <col min="8" max="8" width="9.81640625" style="22" customWidth="1"/>
    <col min="9" max="9" width="4.7265625" style="22" customWidth="1"/>
    <col min="10" max="10" width="15.7265625" style="22" customWidth="1"/>
    <col min="11" max="11" width="4.7265625" style="22" customWidth="1"/>
    <col min="12" max="12" width="15.7265625" style="22" customWidth="1"/>
    <col min="13" max="14" width="4.7265625" style="22" customWidth="1"/>
    <col min="15" max="20" width="3.7265625" style="22" customWidth="1"/>
    <col min="21" max="21" width="10.90625"/>
    <col min="22" max="22" width="4.7265625" style="22" customWidth="1"/>
    <col min="23" max="23" width="15.7265625" style="22" customWidth="1"/>
    <col min="24" max="24" width="4.7265625" style="22" customWidth="1"/>
    <col min="25" max="25" width="15.7265625" style="22" customWidth="1"/>
    <col min="26" max="27" width="4.7265625" style="22" customWidth="1"/>
    <col min="28" max="33" width="3.7265625" style="22" customWidth="1"/>
    <col min="35" max="35" width="4.7265625" style="22" customWidth="1"/>
    <col min="36" max="36" width="15.7265625" style="22" customWidth="1"/>
    <col min="37" max="37" width="4.7265625" style="22" customWidth="1"/>
    <col min="38" max="38" width="15.7265625" style="22" customWidth="1"/>
    <col min="39" max="40" width="4.7265625" style="22" customWidth="1"/>
    <col min="41" max="46" width="3.7265625" style="22" customWidth="1"/>
    <col min="48" max="48" width="4.7265625" style="22" customWidth="1"/>
    <col min="49" max="49" width="15.7265625" style="22" customWidth="1"/>
    <col min="50" max="50" width="4.7265625" style="22" customWidth="1"/>
    <col min="51" max="51" width="15.7265625" style="22" customWidth="1"/>
    <col min="52" max="53" width="4.7265625" style="22" customWidth="1"/>
    <col min="54" max="59" width="3.7265625" style="22" customWidth="1"/>
    <col min="61" max="61" width="4.7265625" style="22" customWidth="1"/>
    <col min="62" max="62" width="15.7265625" style="22" customWidth="1"/>
    <col min="63" max="63" width="4.7265625" style="22" customWidth="1"/>
    <col min="64" max="64" width="15.7265625" style="22" customWidth="1"/>
    <col min="65" max="66" width="4.7265625" style="22" customWidth="1"/>
    <col min="67" max="72" width="3.7265625" style="22" customWidth="1"/>
    <col min="74" max="74" width="4.7265625" style="22" customWidth="1"/>
    <col min="75" max="75" width="15.7265625" style="22" customWidth="1"/>
    <col min="76" max="76" width="4.7265625" style="22" customWidth="1"/>
    <col min="77" max="77" width="15.7265625" style="22" customWidth="1"/>
    <col min="78" max="79" width="4.7265625" style="22" customWidth="1"/>
    <col min="80" max="85" width="3.7265625" style="22" customWidth="1"/>
    <col min="87" max="87" width="4.7265625" style="22" customWidth="1"/>
    <col min="88" max="88" width="15.7265625" style="22" customWidth="1"/>
    <col min="89" max="89" width="4.7265625" style="22" customWidth="1"/>
    <col min="90" max="90" width="15.7265625" style="22" customWidth="1"/>
    <col min="91" max="92" width="4.7265625" style="22" customWidth="1"/>
    <col min="93" max="98" width="3.7265625" style="22" customWidth="1"/>
    <col min="100" max="100" width="4.7265625" style="22" customWidth="1"/>
    <col min="101" max="101" width="15.7265625" style="22" customWidth="1"/>
    <col min="102" max="102" width="4.7265625" style="22" customWidth="1"/>
    <col min="103" max="103" width="15.7265625" style="22" customWidth="1"/>
    <col min="104" max="105" width="4.7265625" style="22" customWidth="1"/>
    <col min="106" max="111" width="3.7265625" style="22" customWidth="1"/>
    <col min="113" max="113" width="4.7265625" style="22" customWidth="1"/>
    <col min="114" max="114" width="15.7265625" style="22" customWidth="1"/>
    <col min="115" max="115" width="4.7265625" style="22" customWidth="1"/>
    <col min="116" max="116" width="15.7265625" style="22" customWidth="1"/>
    <col min="117" max="118" width="4.7265625" style="22" customWidth="1"/>
    <col min="119" max="124" width="3.7265625" style="22" customWidth="1"/>
    <col min="126" max="126" width="4.7265625" style="22" customWidth="1"/>
    <col min="127" max="127" width="15.7265625" style="22" customWidth="1"/>
    <col min="128" max="128" width="4.7265625" style="22" customWidth="1"/>
    <col min="129" max="129" width="15.7265625" style="22" customWidth="1"/>
    <col min="130" max="131" width="4.7265625" style="22" customWidth="1"/>
    <col min="132" max="137" width="3.7265625" style="22" customWidth="1"/>
    <col min="139" max="139" width="4.7265625" style="22" customWidth="1"/>
    <col min="140" max="140" width="15.7265625" style="22" customWidth="1"/>
    <col min="141" max="141" width="4.7265625" style="22" customWidth="1"/>
    <col min="142" max="142" width="15.7265625" style="22" customWidth="1"/>
    <col min="143" max="144" width="4.7265625" style="22" customWidth="1"/>
    <col min="145" max="150" width="3.7265625" style="22" customWidth="1"/>
    <col min="152" max="152" width="4.7265625" style="22" customWidth="1"/>
    <col min="153" max="153" width="15.7265625" style="22" customWidth="1"/>
    <col min="154" max="154" width="4.7265625" style="22" customWidth="1"/>
    <col min="155" max="155" width="15.7265625" style="22" customWidth="1"/>
    <col min="156" max="157" width="4.7265625" style="22" customWidth="1"/>
    <col min="158" max="163" width="3.7265625" style="22" customWidth="1"/>
    <col min="165" max="165" width="4.7265625" style="22" customWidth="1"/>
    <col min="166" max="166" width="15.7265625" style="22" customWidth="1"/>
    <col min="167" max="167" width="4.7265625" style="22" customWidth="1"/>
    <col min="168" max="168" width="15.7265625" style="22" customWidth="1"/>
    <col min="169" max="170" width="4.7265625" style="22" customWidth="1"/>
    <col min="171" max="176" width="3.7265625" style="22" customWidth="1"/>
    <col min="178" max="178" width="4.7265625" style="22" customWidth="1"/>
    <col min="179" max="179" width="15.7265625" style="22" customWidth="1"/>
    <col min="180" max="180" width="4.7265625" style="22" customWidth="1"/>
    <col min="181" max="181" width="15.7265625" style="22" customWidth="1"/>
    <col min="182" max="183" width="4.7265625" style="22" customWidth="1"/>
    <col min="184" max="189" width="3.7265625" style="22" customWidth="1"/>
    <col min="191" max="191" width="4.7265625" style="22" customWidth="1"/>
    <col min="192" max="192" width="15.7265625" style="22" customWidth="1"/>
    <col min="193" max="193" width="4.7265625" style="22" customWidth="1"/>
    <col min="194" max="194" width="15.7265625" style="22" customWidth="1"/>
    <col min="195" max="196" width="4.7265625" style="22" customWidth="1"/>
    <col min="197" max="202" width="3.7265625" style="22" customWidth="1"/>
    <col min="204" max="204" width="4.7265625" style="22" customWidth="1"/>
    <col min="205" max="205" width="15.7265625" style="22" customWidth="1"/>
    <col min="206" max="206" width="4.7265625" style="22" customWidth="1"/>
    <col min="207" max="207" width="15.7265625" style="22" customWidth="1"/>
    <col min="208" max="209" width="4.7265625" style="22" customWidth="1"/>
    <col min="210" max="215" width="3.7265625" style="22" customWidth="1"/>
    <col min="217" max="217" width="4.7265625" style="22" customWidth="1"/>
    <col min="218" max="218" width="15.7265625" style="22" customWidth="1"/>
    <col min="219" max="219" width="4.7265625" style="22" customWidth="1"/>
    <col min="220" max="220" width="15.7265625" style="22" customWidth="1"/>
    <col min="221" max="222" width="4.7265625" style="22" customWidth="1"/>
    <col min="223" max="228" width="3.7265625" style="22" customWidth="1"/>
    <col min="230" max="230" width="4.7265625" style="22" customWidth="1"/>
    <col min="231" max="231" width="15.7265625" style="22" customWidth="1"/>
    <col min="232" max="232" width="4.7265625" style="22" customWidth="1"/>
    <col min="233" max="233" width="15.7265625" style="22" customWidth="1"/>
    <col min="234" max="235" width="4.7265625" style="22" customWidth="1"/>
    <col min="236" max="241" width="3.7265625" style="22" customWidth="1"/>
    <col min="243" max="243" width="4.7265625" style="22" customWidth="1"/>
    <col min="244" max="244" width="15.7265625" style="22" customWidth="1"/>
    <col min="245" max="245" width="4.7265625" style="22" customWidth="1"/>
    <col min="246" max="246" width="15.7265625" style="22" customWidth="1"/>
    <col min="247" max="248" width="4.7265625" style="22" customWidth="1"/>
    <col min="249" max="254" width="3.7265625" style="22" customWidth="1"/>
    <col min="256" max="256" width="4.7265625" style="22" customWidth="1"/>
    <col min="257" max="257" width="15.7265625" style="22" customWidth="1"/>
    <col min="258" max="258" width="4.7265625" style="22" customWidth="1"/>
    <col min="259" max="259" width="15.7265625" style="22" customWidth="1"/>
    <col min="260" max="261" width="4.7265625" style="22" customWidth="1"/>
    <col min="262" max="267" width="3.7265625" style="22" customWidth="1"/>
    <col min="269" max="269" width="4.7265625" style="22" customWidth="1"/>
    <col min="270" max="270" width="15.7265625" style="22" customWidth="1"/>
    <col min="271" max="271" width="4.7265625" style="22" customWidth="1"/>
    <col min="272" max="272" width="15.7265625" style="22" customWidth="1"/>
    <col min="273" max="274" width="4.7265625" style="22" customWidth="1"/>
    <col min="275" max="280" width="3.7265625" style="22" customWidth="1"/>
    <col min="282" max="282" width="4.7265625" style="22" customWidth="1"/>
    <col min="283" max="283" width="15.7265625" style="22" customWidth="1"/>
    <col min="284" max="284" width="4.7265625" style="22" customWidth="1"/>
    <col min="285" max="285" width="15.7265625" style="22" customWidth="1"/>
    <col min="286" max="287" width="4.7265625" style="22" customWidth="1"/>
    <col min="288" max="293" width="3.7265625" style="22" customWidth="1"/>
    <col min="295" max="295" width="4.7265625" style="22" customWidth="1"/>
    <col min="296" max="296" width="15.7265625" style="22" customWidth="1"/>
    <col min="297" max="297" width="4.7265625" style="22" customWidth="1"/>
    <col min="298" max="298" width="15.7265625" style="22" customWidth="1"/>
    <col min="299" max="300" width="4.7265625" style="22" customWidth="1"/>
    <col min="301" max="306" width="3.7265625" style="22" customWidth="1"/>
    <col min="308" max="308" width="4.7265625" style="22" customWidth="1"/>
    <col min="309" max="309" width="15.7265625" style="22" customWidth="1"/>
    <col min="310" max="310" width="4.7265625" style="22" customWidth="1"/>
    <col min="311" max="311" width="15.7265625" style="22" customWidth="1"/>
    <col min="312" max="313" width="4.7265625" style="22" customWidth="1"/>
    <col min="314" max="319" width="3.7265625" style="22" customWidth="1"/>
    <col min="321" max="321" width="4.7265625" style="22" customWidth="1"/>
    <col min="322" max="322" width="15.7265625" style="22" customWidth="1"/>
    <col min="323" max="323" width="4.7265625" style="22" customWidth="1"/>
    <col min="324" max="324" width="15.7265625" style="22" customWidth="1"/>
    <col min="325" max="326" width="4.7265625" style="22" customWidth="1"/>
    <col min="327" max="332" width="3.7265625" style="22" customWidth="1"/>
    <col min="334" max="334" width="4.7265625" style="22" customWidth="1"/>
    <col min="335" max="335" width="15.7265625" style="22" customWidth="1"/>
    <col min="336" max="336" width="4.7265625" style="22" customWidth="1"/>
    <col min="337" max="337" width="15.7265625" style="22" customWidth="1"/>
    <col min="338" max="339" width="4.7265625" style="22" customWidth="1"/>
    <col min="340" max="345" width="3.7265625" style="22" customWidth="1"/>
  </cols>
  <sheetData>
    <row r="1" spans="1:345" ht="28.5">
      <c r="B1" s="879" t="str">
        <f>Language!$E$204</f>
        <v>Voorspellingen</v>
      </c>
      <c r="C1" s="879"/>
      <c r="D1" s="879"/>
      <c r="E1" s="879"/>
      <c r="F1" s="879"/>
      <c r="G1" s="879"/>
    </row>
    <row r="2" spans="1:345" ht="18.75" customHeight="1">
      <c r="A2" s="194"/>
      <c r="B2" s="194"/>
      <c r="C2" s="50"/>
      <c r="D2" s="50"/>
      <c r="E2" s="50"/>
      <c r="I2" s="880">
        <f>O130</f>
        <v>0</v>
      </c>
      <c r="J2" s="880"/>
      <c r="K2" s="880"/>
      <c r="L2" s="880"/>
      <c r="M2" s="880"/>
      <c r="N2" s="880"/>
      <c r="O2" s="880"/>
      <c r="P2" s="880"/>
      <c r="Q2" s="880"/>
      <c r="R2" s="880"/>
      <c r="S2" s="880"/>
      <c r="T2" s="880"/>
      <c r="V2" s="880">
        <f>AB130</f>
        <v>0</v>
      </c>
      <c r="W2" s="880"/>
      <c r="X2" s="880"/>
      <c r="Y2" s="880"/>
      <c r="Z2" s="880"/>
      <c r="AA2" s="880"/>
      <c r="AB2" s="880"/>
      <c r="AC2" s="880"/>
      <c r="AD2" s="880"/>
      <c r="AE2" s="880"/>
      <c r="AF2" s="880"/>
      <c r="AG2" s="880"/>
      <c r="AI2" s="880">
        <f>AO130</f>
        <v>0</v>
      </c>
      <c r="AJ2" s="880"/>
      <c r="AK2" s="880"/>
      <c r="AL2" s="880"/>
      <c r="AM2" s="880"/>
      <c r="AN2" s="880"/>
      <c r="AO2" s="880"/>
      <c r="AP2" s="880"/>
      <c r="AQ2" s="880"/>
      <c r="AR2" s="880"/>
      <c r="AS2" s="880"/>
      <c r="AT2" s="880"/>
      <c r="AV2" s="880">
        <f>BB130</f>
        <v>0</v>
      </c>
      <c r="AW2" s="880"/>
      <c r="AX2" s="880"/>
      <c r="AY2" s="880"/>
      <c r="AZ2" s="880"/>
      <c r="BA2" s="880"/>
      <c r="BB2" s="880"/>
      <c r="BC2" s="880"/>
      <c r="BD2" s="880"/>
      <c r="BE2" s="880"/>
      <c r="BF2" s="880"/>
      <c r="BG2" s="880"/>
      <c r="BI2" s="880">
        <f>BO130</f>
        <v>0</v>
      </c>
      <c r="BJ2" s="880"/>
      <c r="BK2" s="880"/>
      <c r="BL2" s="880"/>
      <c r="BM2" s="880"/>
      <c r="BN2" s="880"/>
      <c r="BO2" s="880"/>
      <c r="BP2" s="880"/>
      <c r="BQ2" s="880"/>
      <c r="BR2" s="880"/>
      <c r="BS2" s="880"/>
      <c r="BT2" s="880"/>
      <c r="BV2" s="880">
        <f>CB130</f>
        <v>0</v>
      </c>
      <c r="BW2" s="880"/>
      <c r="BX2" s="880"/>
      <c r="BY2" s="880"/>
      <c r="BZ2" s="880"/>
      <c r="CA2" s="880"/>
      <c r="CB2" s="880"/>
      <c r="CC2" s="880"/>
      <c r="CD2" s="880"/>
      <c r="CE2" s="880"/>
      <c r="CF2" s="880"/>
      <c r="CG2" s="880"/>
      <c r="CI2" s="880">
        <f>CO130</f>
        <v>0</v>
      </c>
      <c r="CJ2" s="880"/>
      <c r="CK2" s="880"/>
      <c r="CL2" s="880"/>
      <c r="CM2" s="880"/>
      <c r="CN2" s="880"/>
      <c r="CO2" s="880"/>
      <c r="CP2" s="880"/>
      <c r="CQ2" s="880"/>
      <c r="CR2" s="880"/>
      <c r="CS2" s="880"/>
      <c r="CT2" s="880"/>
      <c r="CV2" s="880">
        <f>DB130</f>
        <v>0</v>
      </c>
      <c r="CW2" s="880"/>
      <c r="CX2" s="880"/>
      <c r="CY2" s="880"/>
      <c r="CZ2" s="880"/>
      <c r="DA2" s="880"/>
      <c r="DB2" s="880"/>
      <c r="DC2" s="880"/>
      <c r="DD2" s="880"/>
      <c r="DE2" s="880"/>
      <c r="DF2" s="880"/>
      <c r="DG2" s="880"/>
      <c r="DI2" s="880">
        <f>DO130</f>
        <v>0</v>
      </c>
      <c r="DJ2" s="880"/>
      <c r="DK2" s="880"/>
      <c r="DL2" s="880"/>
      <c r="DM2" s="880"/>
      <c r="DN2" s="880"/>
      <c r="DO2" s="880"/>
      <c r="DP2" s="880"/>
      <c r="DQ2" s="880"/>
      <c r="DR2" s="880"/>
      <c r="DS2" s="880"/>
      <c r="DT2" s="880"/>
      <c r="DV2" s="880">
        <f>EB130</f>
        <v>0</v>
      </c>
      <c r="DW2" s="880"/>
      <c r="DX2" s="880"/>
      <c r="DY2" s="880"/>
      <c r="DZ2" s="880"/>
      <c r="EA2" s="880"/>
      <c r="EB2" s="880"/>
      <c r="EC2" s="880"/>
      <c r="ED2" s="880"/>
      <c r="EE2" s="880"/>
      <c r="EF2" s="880"/>
      <c r="EG2" s="880"/>
      <c r="EI2" s="880">
        <f>EO130</f>
        <v>0</v>
      </c>
      <c r="EJ2" s="880"/>
      <c r="EK2" s="880"/>
      <c r="EL2" s="880"/>
      <c r="EM2" s="880"/>
      <c r="EN2" s="880"/>
      <c r="EO2" s="880"/>
      <c r="EP2" s="880"/>
      <c r="EQ2" s="880"/>
      <c r="ER2" s="880"/>
      <c r="ES2" s="880"/>
      <c r="ET2" s="880"/>
      <c r="EV2" s="880">
        <f>FB130</f>
        <v>0</v>
      </c>
      <c r="EW2" s="880"/>
      <c r="EX2" s="880"/>
      <c r="EY2" s="880"/>
      <c r="EZ2" s="880"/>
      <c r="FA2" s="880"/>
      <c r="FB2" s="880"/>
      <c r="FC2" s="880"/>
      <c r="FD2" s="880"/>
      <c r="FE2" s="880"/>
      <c r="FF2" s="880"/>
      <c r="FG2" s="880"/>
      <c r="FI2" s="880">
        <f>FO130</f>
        <v>0</v>
      </c>
      <c r="FJ2" s="880"/>
      <c r="FK2" s="880"/>
      <c r="FL2" s="880"/>
      <c r="FM2" s="880"/>
      <c r="FN2" s="880"/>
      <c r="FO2" s="880"/>
      <c r="FP2" s="880"/>
      <c r="FQ2" s="880"/>
      <c r="FR2" s="880"/>
      <c r="FS2" s="880"/>
      <c r="FT2" s="880"/>
      <c r="FV2" s="880">
        <f>GB130</f>
        <v>0</v>
      </c>
      <c r="FW2" s="880"/>
      <c r="FX2" s="880"/>
      <c r="FY2" s="880"/>
      <c r="FZ2" s="880"/>
      <c r="GA2" s="880"/>
      <c r="GB2" s="880"/>
      <c r="GC2" s="880"/>
      <c r="GD2" s="880"/>
      <c r="GE2" s="880"/>
      <c r="GF2" s="880"/>
      <c r="GG2" s="880"/>
      <c r="GI2" s="880">
        <f>GO130</f>
        <v>0</v>
      </c>
      <c r="GJ2" s="880"/>
      <c r="GK2" s="880"/>
      <c r="GL2" s="880"/>
      <c r="GM2" s="880"/>
      <c r="GN2" s="880"/>
      <c r="GO2" s="880"/>
      <c r="GP2" s="880"/>
      <c r="GQ2" s="880"/>
      <c r="GR2" s="880"/>
      <c r="GS2" s="880"/>
      <c r="GT2" s="880"/>
      <c r="GV2" s="880">
        <f>HB130</f>
        <v>0</v>
      </c>
      <c r="GW2" s="880"/>
      <c r="GX2" s="880"/>
      <c r="GY2" s="880"/>
      <c r="GZ2" s="880"/>
      <c r="HA2" s="880"/>
      <c r="HB2" s="880"/>
      <c r="HC2" s="880"/>
      <c r="HD2" s="880"/>
      <c r="HE2" s="880"/>
      <c r="HF2" s="880"/>
      <c r="HG2" s="880"/>
      <c r="HI2" s="880">
        <f>HO130</f>
        <v>0</v>
      </c>
      <c r="HJ2" s="880"/>
      <c r="HK2" s="880"/>
      <c r="HL2" s="880"/>
      <c r="HM2" s="880"/>
      <c r="HN2" s="880"/>
      <c r="HO2" s="880"/>
      <c r="HP2" s="880"/>
      <c r="HQ2" s="880"/>
      <c r="HR2" s="880"/>
      <c r="HS2" s="880"/>
      <c r="HT2" s="880"/>
      <c r="HV2" s="880">
        <f>IB130</f>
        <v>0</v>
      </c>
      <c r="HW2" s="880"/>
      <c r="HX2" s="880"/>
      <c r="HY2" s="880"/>
      <c r="HZ2" s="880"/>
      <c r="IA2" s="880"/>
      <c r="IB2" s="880"/>
      <c r="IC2" s="880"/>
      <c r="ID2" s="880"/>
      <c r="IE2" s="880"/>
      <c r="IF2" s="880"/>
      <c r="IG2" s="880"/>
      <c r="II2" s="880">
        <f>IO130</f>
        <v>0</v>
      </c>
      <c r="IJ2" s="880"/>
      <c r="IK2" s="880"/>
      <c r="IL2" s="880"/>
      <c r="IM2" s="880"/>
      <c r="IN2" s="880"/>
      <c r="IO2" s="880"/>
      <c r="IP2" s="880"/>
      <c r="IQ2" s="880"/>
      <c r="IR2" s="880"/>
      <c r="IS2" s="880"/>
      <c r="IT2" s="880"/>
      <c r="IV2" s="880">
        <f>JB130</f>
        <v>0</v>
      </c>
      <c r="IW2" s="880"/>
      <c r="IX2" s="880"/>
      <c r="IY2" s="880"/>
      <c r="IZ2" s="880"/>
      <c r="JA2" s="880"/>
      <c r="JB2" s="880"/>
      <c r="JC2" s="880"/>
      <c r="JD2" s="880"/>
      <c r="JE2" s="880"/>
      <c r="JF2" s="880"/>
      <c r="JG2" s="880"/>
      <c r="JI2" s="880">
        <f>JO130</f>
        <v>0</v>
      </c>
      <c r="JJ2" s="880"/>
      <c r="JK2" s="880"/>
      <c r="JL2" s="880"/>
      <c r="JM2" s="880"/>
      <c r="JN2" s="880"/>
      <c r="JO2" s="880"/>
      <c r="JP2" s="880"/>
      <c r="JQ2" s="880"/>
      <c r="JR2" s="880"/>
      <c r="JS2" s="880"/>
      <c r="JT2" s="880"/>
      <c r="JV2" s="880">
        <f>KB130</f>
        <v>0</v>
      </c>
      <c r="JW2" s="880"/>
      <c r="JX2" s="880"/>
      <c r="JY2" s="880"/>
      <c r="JZ2" s="880"/>
      <c r="KA2" s="880"/>
      <c r="KB2" s="880"/>
      <c r="KC2" s="880"/>
      <c r="KD2" s="880"/>
      <c r="KE2" s="880"/>
      <c r="KF2" s="880"/>
      <c r="KG2" s="880"/>
      <c r="KI2" s="880">
        <f>KO130</f>
        <v>0</v>
      </c>
      <c r="KJ2" s="880"/>
      <c r="KK2" s="880"/>
      <c r="KL2" s="880"/>
      <c r="KM2" s="880"/>
      <c r="KN2" s="880"/>
      <c r="KO2" s="880"/>
      <c r="KP2" s="880"/>
      <c r="KQ2" s="880"/>
      <c r="KR2" s="880"/>
      <c r="KS2" s="880"/>
      <c r="KT2" s="880"/>
      <c r="KV2" s="880">
        <f>LB130</f>
        <v>0</v>
      </c>
      <c r="KW2" s="880"/>
      <c r="KX2" s="880"/>
      <c r="KY2" s="880"/>
      <c r="KZ2" s="880"/>
      <c r="LA2" s="880"/>
      <c r="LB2" s="880"/>
      <c r="LC2" s="880"/>
      <c r="LD2" s="880"/>
      <c r="LE2" s="880"/>
      <c r="LF2" s="880"/>
      <c r="LG2" s="880"/>
      <c r="LI2" s="880">
        <f>LO130</f>
        <v>0</v>
      </c>
      <c r="LJ2" s="880"/>
      <c r="LK2" s="880"/>
      <c r="LL2" s="880"/>
      <c r="LM2" s="880"/>
      <c r="LN2" s="880"/>
      <c r="LO2" s="880"/>
      <c r="LP2" s="880"/>
      <c r="LQ2" s="880"/>
      <c r="LR2" s="880"/>
      <c r="LS2" s="880"/>
      <c r="LT2" s="880"/>
      <c r="LV2" s="880">
        <f>MB130</f>
        <v>0</v>
      </c>
      <c r="LW2" s="880"/>
      <c r="LX2" s="880"/>
      <c r="LY2" s="880"/>
      <c r="LZ2" s="880"/>
      <c r="MA2" s="880"/>
      <c r="MB2" s="880"/>
      <c r="MC2" s="880"/>
      <c r="MD2" s="880"/>
      <c r="ME2" s="880"/>
      <c r="MF2" s="880"/>
      <c r="MG2" s="880"/>
    </row>
    <row r="3" spans="1:345" ht="24.75" customHeight="1" thickBot="1">
      <c r="A3" s="194"/>
      <c r="B3" s="857" t="str">
        <f>Language!$E$205</f>
        <v>Juiste resultaten</v>
      </c>
      <c r="C3" s="858"/>
      <c r="D3" s="858"/>
      <c r="E3" s="858"/>
      <c r="F3" s="858"/>
      <c r="G3" s="859"/>
      <c r="I3" s="884" t="s">
        <v>560</v>
      </c>
      <c r="J3" s="885"/>
      <c r="K3" s="885"/>
      <c r="L3" s="885"/>
      <c r="M3" s="885"/>
      <c r="N3" s="885"/>
      <c r="O3" s="885"/>
      <c r="P3" s="885"/>
      <c r="Q3" s="885"/>
      <c r="R3" s="885"/>
      <c r="S3" s="885"/>
      <c r="T3" s="886"/>
      <c r="V3" s="884" t="s">
        <v>1642</v>
      </c>
      <c r="W3" s="885"/>
      <c r="X3" s="885"/>
      <c r="Y3" s="885"/>
      <c r="Z3" s="885"/>
      <c r="AA3" s="885"/>
      <c r="AB3" s="885"/>
      <c r="AC3" s="885"/>
      <c r="AD3" s="885"/>
      <c r="AE3" s="885"/>
      <c r="AF3" s="885"/>
      <c r="AG3" s="886"/>
      <c r="AI3" s="884"/>
      <c r="AJ3" s="885"/>
      <c r="AK3" s="885"/>
      <c r="AL3" s="885"/>
      <c r="AM3" s="885"/>
      <c r="AN3" s="885"/>
      <c r="AO3" s="885"/>
      <c r="AP3" s="885"/>
      <c r="AQ3" s="885"/>
      <c r="AR3" s="885"/>
      <c r="AS3" s="885"/>
      <c r="AT3" s="886"/>
      <c r="AV3" s="884"/>
      <c r="AW3" s="885"/>
      <c r="AX3" s="885"/>
      <c r="AY3" s="885"/>
      <c r="AZ3" s="885"/>
      <c r="BA3" s="885"/>
      <c r="BB3" s="885"/>
      <c r="BC3" s="885"/>
      <c r="BD3" s="885"/>
      <c r="BE3" s="885"/>
      <c r="BF3" s="885"/>
      <c r="BG3" s="886"/>
      <c r="BI3" s="884"/>
      <c r="BJ3" s="885"/>
      <c r="BK3" s="885"/>
      <c r="BL3" s="885"/>
      <c r="BM3" s="885"/>
      <c r="BN3" s="885"/>
      <c r="BO3" s="885"/>
      <c r="BP3" s="885"/>
      <c r="BQ3" s="885"/>
      <c r="BR3" s="885"/>
      <c r="BS3" s="885"/>
      <c r="BT3" s="886"/>
      <c r="BV3" s="884"/>
      <c r="BW3" s="885"/>
      <c r="BX3" s="885"/>
      <c r="BY3" s="885"/>
      <c r="BZ3" s="885"/>
      <c r="CA3" s="885"/>
      <c r="CB3" s="885"/>
      <c r="CC3" s="885"/>
      <c r="CD3" s="885"/>
      <c r="CE3" s="885"/>
      <c r="CF3" s="885"/>
      <c r="CG3" s="886"/>
      <c r="CI3" s="884"/>
      <c r="CJ3" s="885"/>
      <c r="CK3" s="885"/>
      <c r="CL3" s="885"/>
      <c r="CM3" s="885"/>
      <c r="CN3" s="885"/>
      <c r="CO3" s="885"/>
      <c r="CP3" s="885"/>
      <c r="CQ3" s="885"/>
      <c r="CR3" s="885"/>
      <c r="CS3" s="885"/>
      <c r="CT3" s="886"/>
      <c r="CV3" s="884"/>
      <c r="CW3" s="885"/>
      <c r="CX3" s="885"/>
      <c r="CY3" s="885"/>
      <c r="CZ3" s="885"/>
      <c r="DA3" s="885"/>
      <c r="DB3" s="885"/>
      <c r="DC3" s="885"/>
      <c r="DD3" s="885"/>
      <c r="DE3" s="885"/>
      <c r="DF3" s="885"/>
      <c r="DG3" s="886"/>
      <c r="DI3" s="884"/>
      <c r="DJ3" s="885"/>
      <c r="DK3" s="885"/>
      <c r="DL3" s="885"/>
      <c r="DM3" s="885"/>
      <c r="DN3" s="885"/>
      <c r="DO3" s="885"/>
      <c r="DP3" s="885"/>
      <c r="DQ3" s="885"/>
      <c r="DR3" s="885"/>
      <c r="DS3" s="885"/>
      <c r="DT3" s="886"/>
      <c r="DV3" s="884"/>
      <c r="DW3" s="885"/>
      <c r="DX3" s="885"/>
      <c r="DY3" s="885"/>
      <c r="DZ3" s="885"/>
      <c r="EA3" s="885"/>
      <c r="EB3" s="885"/>
      <c r="EC3" s="885"/>
      <c r="ED3" s="885"/>
      <c r="EE3" s="885"/>
      <c r="EF3" s="885"/>
      <c r="EG3" s="886"/>
      <c r="EI3" s="884"/>
      <c r="EJ3" s="885"/>
      <c r="EK3" s="885"/>
      <c r="EL3" s="885"/>
      <c r="EM3" s="885"/>
      <c r="EN3" s="885"/>
      <c r="EO3" s="885"/>
      <c r="EP3" s="885"/>
      <c r="EQ3" s="885"/>
      <c r="ER3" s="885"/>
      <c r="ES3" s="885"/>
      <c r="ET3" s="886"/>
      <c r="EV3" s="884"/>
      <c r="EW3" s="885"/>
      <c r="EX3" s="885"/>
      <c r="EY3" s="885"/>
      <c r="EZ3" s="885"/>
      <c r="FA3" s="885"/>
      <c r="FB3" s="885"/>
      <c r="FC3" s="885"/>
      <c r="FD3" s="885"/>
      <c r="FE3" s="885"/>
      <c r="FF3" s="885"/>
      <c r="FG3" s="886"/>
      <c r="FI3" s="884"/>
      <c r="FJ3" s="885"/>
      <c r="FK3" s="885"/>
      <c r="FL3" s="885"/>
      <c r="FM3" s="885"/>
      <c r="FN3" s="885"/>
      <c r="FO3" s="885"/>
      <c r="FP3" s="885"/>
      <c r="FQ3" s="885"/>
      <c r="FR3" s="885"/>
      <c r="FS3" s="885"/>
      <c r="FT3" s="886"/>
      <c r="FV3" s="884"/>
      <c r="FW3" s="885"/>
      <c r="FX3" s="885"/>
      <c r="FY3" s="885"/>
      <c r="FZ3" s="885"/>
      <c r="GA3" s="885"/>
      <c r="GB3" s="885"/>
      <c r="GC3" s="885"/>
      <c r="GD3" s="885"/>
      <c r="GE3" s="885"/>
      <c r="GF3" s="885"/>
      <c r="GG3" s="886"/>
      <c r="GI3" s="884"/>
      <c r="GJ3" s="885"/>
      <c r="GK3" s="885"/>
      <c r="GL3" s="885"/>
      <c r="GM3" s="885"/>
      <c r="GN3" s="885"/>
      <c r="GO3" s="885"/>
      <c r="GP3" s="885"/>
      <c r="GQ3" s="885"/>
      <c r="GR3" s="885"/>
      <c r="GS3" s="885"/>
      <c r="GT3" s="886"/>
      <c r="GV3" s="884"/>
      <c r="GW3" s="885"/>
      <c r="GX3" s="885"/>
      <c r="GY3" s="885"/>
      <c r="GZ3" s="885"/>
      <c r="HA3" s="885"/>
      <c r="HB3" s="885"/>
      <c r="HC3" s="885"/>
      <c r="HD3" s="885"/>
      <c r="HE3" s="885"/>
      <c r="HF3" s="885"/>
      <c r="HG3" s="886"/>
      <c r="HI3" s="884"/>
      <c r="HJ3" s="885"/>
      <c r="HK3" s="885"/>
      <c r="HL3" s="885"/>
      <c r="HM3" s="885"/>
      <c r="HN3" s="885"/>
      <c r="HO3" s="885"/>
      <c r="HP3" s="885"/>
      <c r="HQ3" s="885"/>
      <c r="HR3" s="885"/>
      <c r="HS3" s="885"/>
      <c r="HT3" s="886"/>
      <c r="HV3" s="884"/>
      <c r="HW3" s="885"/>
      <c r="HX3" s="885"/>
      <c r="HY3" s="885"/>
      <c r="HZ3" s="885"/>
      <c r="IA3" s="885"/>
      <c r="IB3" s="885"/>
      <c r="IC3" s="885"/>
      <c r="ID3" s="885"/>
      <c r="IE3" s="885"/>
      <c r="IF3" s="885"/>
      <c r="IG3" s="886"/>
      <c r="II3" s="884"/>
      <c r="IJ3" s="885"/>
      <c r="IK3" s="885"/>
      <c r="IL3" s="885"/>
      <c r="IM3" s="885"/>
      <c r="IN3" s="885"/>
      <c r="IO3" s="885"/>
      <c r="IP3" s="885"/>
      <c r="IQ3" s="885"/>
      <c r="IR3" s="885"/>
      <c r="IS3" s="885"/>
      <c r="IT3" s="886"/>
      <c r="IV3" s="884"/>
      <c r="IW3" s="885"/>
      <c r="IX3" s="885"/>
      <c r="IY3" s="885"/>
      <c r="IZ3" s="885"/>
      <c r="JA3" s="885"/>
      <c r="JB3" s="885"/>
      <c r="JC3" s="885"/>
      <c r="JD3" s="885"/>
      <c r="JE3" s="885"/>
      <c r="JF3" s="885"/>
      <c r="JG3" s="886"/>
      <c r="JI3" s="884"/>
      <c r="JJ3" s="885"/>
      <c r="JK3" s="885"/>
      <c r="JL3" s="885"/>
      <c r="JM3" s="885"/>
      <c r="JN3" s="885"/>
      <c r="JO3" s="885"/>
      <c r="JP3" s="885"/>
      <c r="JQ3" s="885"/>
      <c r="JR3" s="885"/>
      <c r="JS3" s="885"/>
      <c r="JT3" s="886"/>
      <c r="JV3" s="884"/>
      <c r="JW3" s="885"/>
      <c r="JX3" s="885"/>
      <c r="JY3" s="885"/>
      <c r="JZ3" s="885"/>
      <c r="KA3" s="885"/>
      <c r="KB3" s="885"/>
      <c r="KC3" s="885"/>
      <c r="KD3" s="885"/>
      <c r="KE3" s="885"/>
      <c r="KF3" s="885"/>
      <c r="KG3" s="886"/>
      <c r="KI3" s="884"/>
      <c r="KJ3" s="885"/>
      <c r="KK3" s="885"/>
      <c r="KL3" s="885"/>
      <c r="KM3" s="885"/>
      <c r="KN3" s="885"/>
      <c r="KO3" s="885"/>
      <c r="KP3" s="885"/>
      <c r="KQ3" s="885"/>
      <c r="KR3" s="885"/>
      <c r="KS3" s="885"/>
      <c r="KT3" s="886"/>
      <c r="KV3" s="884"/>
      <c r="KW3" s="885"/>
      <c r="KX3" s="885"/>
      <c r="KY3" s="885"/>
      <c r="KZ3" s="885"/>
      <c r="LA3" s="885"/>
      <c r="LB3" s="885"/>
      <c r="LC3" s="885"/>
      <c r="LD3" s="885"/>
      <c r="LE3" s="885"/>
      <c r="LF3" s="885"/>
      <c r="LG3" s="886"/>
      <c r="LI3" s="884"/>
      <c r="LJ3" s="885"/>
      <c r="LK3" s="885"/>
      <c r="LL3" s="885"/>
      <c r="LM3" s="885"/>
      <c r="LN3" s="885"/>
      <c r="LO3" s="885"/>
      <c r="LP3" s="885"/>
      <c r="LQ3" s="885"/>
      <c r="LR3" s="885"/>
      <c r="LS3" s="885"/>
      <c r="LT3" s="886"/>
      <c r="LV3" s="884"/>
      <c r="LW3" s="885"/>
      <c r="LX3" s="885"/>
      <c r="LY3" s="885"/>
      <c r="LZ3" s="885"/>
      <c r="MA3" s="885"/>
      <c r="MB3" s="885"/>
      <c r="MC3" s="885"/>
      <c r="MD3" s="885"/>
      <c r="ME3" s="885"/>
      <c r="MF3" s="885"/>
      <c r="MG3" s="886"/>
    </row>
    <row r="4" spans="1:345" ht="40.5" customHeight="1" thickTop="1">
      <c r="A4" s="194"/>
      <c r="B4" s="214"/>
      <c r="C4" s="215"/>
      <c r="D4" s="215"/>
      <c r="E4" s="216"/>
      <c r="F4" s="860" t="str">
        <f>Language!$E$209</f>
        <v>Result.</v>
      </c>
      <c r="G4" s="861"/>
      <c r="I4" s="222"/>
      <c r="J4" s="215"/>
      <c r="K4" s="215"/>
      <c r="L4" s="216"/>
      <c r="M4" s="856" t="str">
        <f>Language!$E$209</f>
        <v>Result.</v>
      </c>
      <c r="N4" s="856"/>
      <c r="O4" s="217" t="str">
        <f>Language!$E$219</f>
        <v>Finale</v>
      </c>
      <c r="P4" s="217" t="str">
        <f>Language!$E$210</f>
        <v>W/G/V</v>
      </c>
      <c r="Q4" s="217" t="str">
        <f>Language!$E$211</f>
        <v>DS</v>
      </c>
      <c r="R4" s="217" t="str">
        <f>Language!$E$212</f>
        <v>exact</v>
      </c>
      <c r="S4" s="217" t="str">
        <f>Language!$E$224</f>
        <v>grote aant.</v>
      </c>
      <c r="T4" s="218" t="str">
        <f>Language!$E$213</f>
        <v>teams</v>
      </c>
      <c r="V4" s="222"/>
      <c r="W4" s="215"/>
      <c r="X4" s="215"/>
      <c r="Y4" s="216"/>
      <c r="Z4" s="856" t="str">
        <f>Language!$E$209</f>
        <v>Result.</v>
      </c>
      <c r="AA4" s="856"/>
      <c r="AB4" s="217" t="str">
        <f>Language!$E$219</f>
        <v>Finale</v>
      </c>
      <c r="AC4" s="217" t="str">
        <f>Language!$E$210</f>
        <v>W/G/V</v>
      </c>
      <c r="AD4" s="217" t="str">
        <f>Language!$E$211</f>
        <v>DS</v>
      </c>
      <c r="AE4" s="217" t="str">
        <f>Language!$E$212</f>
        <v>exact</v>
      </c>
      <c r="AF4" s="217" t="str">
        <f>Language!$E$224</f>
        <v>grote aant.</v>
      </c>
      <c r="AG4" s="218" t="str">
        <f>Language!$E$213</f>
        <v>teams</v>
      </c>
      <c r="AI4" s="222"/>
      <c r="AJ4" s="215"/>
      <c r="AK4" s="215"/>
      <c r="AL4" s="216"/>
      <c r="AM4" s="856" t="str">
        <f>Language!$E$209</f>
        <v>Result.</v>
      </c>
      <c r="AN4" s="856"/>
      <c r="AO4" s="217" t="str">
        <f>Language!$E$219</f>
        <v>Finale</v>
      </c>
      <c r="AP4" s="217" t="str">
        <f>Language!$E$210</f>
        <v>W/G/V</v>
      </c>
      <c r="AQ4" s="217" t="str">
        <f>Language!$E$211</f>
        <v>DS</v>
      </c>
      <c r="AR4" s="217" t="str">
        <f>Language!$E$212</f>
        <v>exact</v>
      </c>
      <c r="AS4" s="217" t="str">
        <f>Language!$E$224</f>
        <v>grote aant.</v>
      </c>
      <c r="AT4" s="218" t="str">
        <f>Language!$E$213</f>
        <v>teams</v>
      </c>
      <c r="AV4" s="222"/>
      <c r="AW4" s="215"/>
      <c r="AX4" s="215"/>
      <c r="AY4" s="216"/>
      <c r="AZ4" s="856" t="str">
        <f>Language!$E$209</f>
        <v>Result.</v>
      </c>
      <c r="BA4" s="856"/>
      <c r="BB4" s="217" t="str">
        <f>Language!$E$219</f>
        <v>Finale</v>
      </c>
      <c r="BC4" s="217" t="str">
        <f>Language!$E$210</f>
        <v>W/G/V</v>
      </c>
      <c r="BD4" s="217" t="str">
        <f>Language!$E$211</f>
        <v>DS</v>
      </c>
      <c r="BE4" s="217" t="str">
        <f>Language!$E$212</f>
        <v>exact</v>
      </c>
      <c r="BF4" s="217" t="str">
        <f>Language!$E$224</f>
        <v>grote aant.</v>
      </c>
      <c r="BG4" s="218" t="str">
        <f>Language!$E$213</f>
        <v>teams</v>
      </c>
      <c r="BI4" s="222"/>
      <c r="BJ4" s="215"/>
      <c r="BK4" s="215"/>
      <c r="BL4" s="216"/>
      <c r="BM4" s="856" t="str">
        <f>Language!$E$209</f>
        <v>Result.</v>
      </c>
      <c r="BN4" s="856"/>
      <c r="BO4" s="217" t="str">
        <f>Language!$E$219</f>
        <v>Finale</v>
      </c>
      <c r="BP4" s="217" t="str">
        <f>Language!$E$210</f>
        <v>W/G/V</v>
      </c>
      <c r="BQ4" s="217" t="str">
        <f>Language!$E$211</f>
        <v>DS</v>
      </c>
      <c r="BR4" s="217" t="str">
        <f>Language!$E$212</f>
        <v>exact</v>
      </c>
      <c r="BS4" s="217" t="str">
        <f>Language!$E$224</f>
        <v>grote aant.</v>
      </c>
      <c r="BT4" s="218" t="str">
        <f>Language!$E$213</f>
        <v>teams</v>
      </c>
      <c r="BV4" s="222"/>
      <c r="BW4" s="215"/>
      <c r="BX4" s="215"/>
      <c r="BY4" s="216"/>
      <c r="BZ4" s="856" t="str">
        <f>Language!$E$209</f>
        <v>Result.</v>
      </c>
      <c r="CA4" s="856"/>
      <c r="CB4" s="217" t="str">
        <f>Language!$E$219</f>
        <v>Finale</v>
      </c>
      <c r="CC4" s="217" t="str">
        <f>Language!$E$210</f>
        <v>W/G/V</v>
      </c>
      <c r="CD4" s="217" t="str">
        <f>Language!$E$211</f>
        <v>DS</v>
      </c>
      <c r="CE4" s="217" t="str">
        <f>Language!$E$212</f>
        <v>exact</v>
      </c>
      <c r="CF4" s="217" t="str">
        <f>Language!$E$224</f>
        <v>grote aant.</v>
      </c>
      <c r="CG4" s="218" t="str">
        <f>Language!$E$213</f>
        <v>teams</v>
      </c>
      <c r="CI4" s="222"/>
      <c r="CJ4" s="215"/>
      <c r="CK4" s="215"/>
      <c r="CL4" s="216"/>
      <c r="CM4" s="856" t="str">
        <f>Language!$E$209</f>
        <v>Result.</v>
      </c>
      <c r="CN4" s="856"/>
      <c r="CO4" s="217" t="str">
        <f>Language!$E$219</f>
        <v>Finale</v>
      </c>
      <c r="CP4" s="217" t="str">
        <f>Language!$E$210</f>
        <v>W/G/V</v>
      </c>
      <c r="CQ4" s="217" t="str">
        <f>Language!$E$211</f>
        <v>DS</v>
      </c>
      <c r="CR4" s="217" t="str">
        <f>Language!$E$212</f>
        <v>exact</v>
      </c>
      <c r="CS4" s="217" t="str">
        <f>Language!$E$224</f>
        <v>grote aant.</v>
      </c>
      <c r="CT4" s="218" t="str">
        <f>Language!$E$213</f>
        <v>teams</v>
      </c>
      <c r="CV4" s="222"/>
      <c r="CW4" s="215"/>
      <c r="CX4" s="215"/>
      <c r="CY4" s="216"/>
      <c r="CZ4" s="856" t="str">
        <f>Language!$E$209</f>
        <v>Result.</v>
      </c>
      <c r="DA4" s="856"/>
      <c r="DB4" s="217" t="str">
        <f>Language!$E$219</f>
        <v>Finale</v>
      </c>
      <c r="DC4" s="217" t="str">
        <f>Language!$E$210</f>
        <v>W/G/V</v>
      </c>
      <c r="DD4" s="217" t="str">
        <f>Language!$E$211</f>
        <v>DS</v>
      </c>
      <c r="DE4" s="217" t="str">
        <f>Language!$E$212</f>
        <v>exact</v>
      </c>
      <c r="DF4" s="217" t="str">
        <f>Language!$E$224</f>
        <v>grote aant.</v>
      </c>
      <c r="DG4" s="218" t="str">
        <f>Language!$E$213</f>
        <v>teams</v>
      </c>
      <c r="DI4" s="222"/>
      <c r="DJ4" s="215"/>
      <c r="DK4" s="215"/>
      <c r="DL4" s="216"/>
      <c r="DM4" s="856" t="str">
        <f>Language!$E$209</f>
        <v>Result.</v>
      </c>
      <c r="DN4" s="856"/>
      <c r="DO4" s="217" t="str">
        <f>Language!$E$219</f>
        <v>Finale</v>
      </c>
      <c r="DP4" s="217" t="str">
        <f>Language!$E$210</f>
        <v>W/G/V</v>
      </c>
      <c r="DQ4" s="217" t="str">
        <f>Language!$E$211</f>
        <v>DS</v>
      </c>
      <c r="DR4" s="217" t="str">
        <f>Language!$E$212</f>
        <v>exact</v>
      </c>
      <c r="DS4" s="217" t="str">
        <f>Language!$E$224</f>
        <v>grote aant.</v>
      </c>
      <c r="DT4" s="218" t="str">
        <f>Language!$E$213</f>
        <v>teams</v>
      </c>
      <c r="DV4" s="222"/>
      <c r="DW4" s="215"/>
      <c r="DX4" s="215"/>
      <c r="DY4" s="216"/>
      <c r="DZ4" s="856" t="str">
        <f>Language!$E$209</f>
        <v>Result.</v>
      </c>
      <c r="EA4" s="856"/>
      <c r="EB4" s="217" t="str">
        <f>Language!$E$219</f>
        <v>Finale</v>
      </c>
      <c r="EC4" s="217" t="str">
        <f>Language!$E$210</f>
        <v>W/G/V</v>
      </c>
      <c r="ED4" s="217" t="str">
        <f>Language!$E$211</f>
        <v>DS</v>
      </c>
      <c r="EE4" s="217" t="str">
        <f>Language!$E$212</f>
        <v>exact</v>
      </c>
      <c r="EF4" s="217" t="str">
        <f>Language!$E$224</f>
        <v>grote aant.</v>
      </c>
      <c r="EG4" s="218" t="str">
        <f>Language!$E$213</f>
        <v>teams</v>
      </c>
      <c r="EI4" s="222"/>
      <c r="EJ4" s="215"/>
      <c r="EK4" s="215"/>
      <c r="EL4" s="216"/>
      <c r="EM4" s="856" t="str">
        <f>Language!$E$209</f>
        <v>Result.</v>
      </c>
      <c r="EN4" s="856"/>
      <c r="EO4" s="217" t="str">
        <f>Language!$E$219</f>
        <v>Finale</v>
      </c>
      <c r="EP4" s="217" t="str">
        <f>Language!$E$210</f>
        <v>W/G/V</v>
      </c>
      <c r="EQ4" s="217" t="str">
        <f>Language!$E$211</f>
        <v>DS</v>
      </c>
      <c r="ER4" s="217" t="str">
        <f>Language!$E$212</f>
        <v>exact</v>
      </c>
      <c r="ES4" s="217" t="str">
        <f>Language!$E$224</f>
        <v>grote aant.</v>
      </c>
      <c r="ET4" s="218" t="str">
        <f>Language!$E$213</f>
        <v>teams</v>
      </c>
      <c r="EV4" s="222"/>
      <c r="EW4" s="215"/>
      <c r="EX4" s="215"/>
      <c r="EY4" s="216"/>
      <c r="EZ4" s="856" t="str">
        <f>Language!$E$209</f>
        <v>Result.</v>
      </c>
      <c r="FA4" s="856"/>
      <c r="FB4" s="217" t="str">
        <f>Language!$E$219</f>
        <v>Finale</v>
      </c>
      <c r="FC4" s="217" t="str">
        <f>Language!$E$210</f>
        <v>W/G/V</v>
      </c>
      <c r="FD4" s="217" t="str">
        <f>Language!$E$211</f>
        <v>DS</v>
      </c>
      <c r="FE4" s="217" t="str">
        <f>Language!$E$212</f>
        <v>exact</v>
      </c>
      <c r="FF4" s="217" t="str">
        <f>Language!$E$224</f>
        <v>grote aant.</v>
      </c>
      <c r="FG4" s="218" t="str">
        <f>Language!$E$213</f>
        <v>teams</v>
      </c>
      <c r="FI4" s="222"/>
      <c r="FJ4" s="215"/>
      <c r="FK4" s="215"/>
      <c r="FL4" s="216"/>
      <c r="FM4" s="856" t="str">
        <f>Language!$E$209</f>
        <v>Result.</v>
      </c>
      <c r="FN4" s="856"/>
      <c r="FO4" s="217" t="str">
        <f>Language!$E$219</f>
        <v>Finale</v>
      </c>
      <c r="FP4" s="217" t="str">
        <f>Language!$E$210</f>
        <v>W/G/V</v>
      </c>
      <c r="FQ4" s="217" t="str">
        <f>Language!$E$211</f>
        <v>DS</v>
      </c>
      <c r="FR4" s="217" t="str">
        <f>Language!$E$212</f>
        <v>exact</v>
      </c>
      <c r="FS4" s="217" t="str">
        <f>Language!$E$224</f>
        <v>grote aant.</v>
      </c>
      <c r="FT4" s="218" t="str">
        <f>Language!$E$213</f>
        <v>teams</v>
      </c>
      <c r="FV4" s="222"/>
      <c r="FW4" s="215"/>
      <c r="FX4" s="215"/>
      <c r="FY4" s="216"/>
      <c r="FZ4" s="856" t="str">
        <f>Language!$E$209</f>
        <v>Result.</v>
      </c>
      <c r="GA4" s="856"/>
      <c r="GB4" s="217" t="str">
        <f>Language!$E$219</f>
        <v>Finale</v>
      </c>
      <c r="GC4" s="217" t="str">
        <f>Language!$E$210</f>
        <v>W/G/V</v>
      </c>
      <c r="GD4" s="217" t="str">
        <f>Language!$E$211</f>
        <v>DS</v>
      </c>
      <c r="GE4" s="217" t="str">
        <f>Language!$E$212</f>
        <v>exact</v>
      </c>
      <c r="GF4" s="217" t="str">
        <f>Language!$E$224</f>
        <v>grote aant.</v>
      </c>
      <c r="GG4" s="218" t="str">
        <f>Language!$E$213</f>
        <v>teams</v>
      </c>
      <c r="GI4" s="222"/>
      <c r="GJ4" s="215"/>
      <c r="GK4" s="215"/>
      <c r="GL4" s="216"/>
      <c r="GM4" s="856" t="str">
        <f>Language!$E$209</f>
        <v>Result.</v>
      </c>
      <c r="GN4" s="856"/>
      <c r="GO4" s="217" t="str">
        <f>Language!$E$219</f>
        <v>Finale</v>
      </c>
      <c r="GP4" s="217" t="str">
        <f>Language!$E$210</f>
        <v>W/G/V</v>
      </c>
      <c r="GQ4" s="217" t="str">
        <f>Language!$E$211</f>
        <v>DS</v>
      </c>
      <c r="GR4" s="217" t="str">
        <f>Language!$E$212</f>
        <v>exact</v>
      </c>
      <c r="GS4" s="217" t="str">
        <f>Language!$E$224</f>
        <v>grote aant.</v>
      </c>
      <c r="GT4" s="218" t="str">
        <f>Language!$E$213</f>
        <v>teams</v>
      </c>
      <c r="GV4" s="222"/>
      <c r="GW4" s="215"/>
      <c r="GX4" s="215"/>
      <c r="GY4" s="216"/>
      <c r="GZ4" s="856" t="str">
        <f>Language!$E$209</f>
        <v>Result.</v>
      </c>
      <c r="HA4" s="856"/>
      <c r="HB4" s="217" t="str">
        <f>Language!$E$219</f>
        <v>Finale</v>
      </c>
      <c r="HC4" s="217" t="str">
        <f>Language!$E$210</f>
        <v>W/G/V</v>
      </c>
      <c r="HD4" s="217" t="str">
        <f>Language!$E$211</f>
        <v>DS</v>
      </c>
      <c r="HE4" s="217" t="str">
        <f>Language!$E$212</f>
        <v>exact</v>
      </c>
      <c r="HF4" s="217" t="str">
        <f>Language!$E$224</f>
        <v>grote aant.</v>
      </c>
      <c r="HG4" s="218" t="str">
        <f>Language!$E$213</f>
        <v>teams</v>
      </c>
      <c r="HI4" s="222"/>
      <c r="HJ4" s="215"/>
      <c r="HK4" s="215"/>
      <c r="HL4" s="216"/>
      <c r="HM4" s="856" t="str">
        <f>Language!$E$209</f>
        <v>Result.</v>
      </c>
      <c r="HN4" s="856"/>
      <c r="HO4" s="217" t="str">
        <f>Language!$E$219</f>
        <v>Finale</v>
      </c>
      <c r="HP4" s="217" t="str">
        <f>Language!$E$210</f>
        <v>W/G/V</v>
      </c>
      <c r="HQ4" s="217" t="str">
        <f>Language!$E$211</f>
        <v>DS</v>
      </c>
      <c r="HR4" s="217" t="str">
        <f>Language!$E$212</f>
        <v>exact</v>
      </c>
      <c r="HS4" s="217" t="str">
        <f>Language!$E$224</f>
        <v>grote aant.</v>
      </c>
      <c r="HT4" s="218" t="str">
        <f>Language!$E$213</f>
        <v>teams</v>
      </c>
      <c r="HV4" s="222"/>
      <c r="HW4" s="215"/>
      <c r="HX4" s="215"/>
      <c r="HY4" s="216"/>
      <c r="HZ4" s="856" t="str">
        <f>Language!$E$209</f>
        <v>Result.</v>
      </c>
      <c r="IA4" s="856"/>
      <c r="IB4" s="217" t="str">
        <f>Language!$E$219</f>
        <v>Finale</v>
      </c>
      <c r="IC4" s="217" t="str">
        <f>Language!$E$210</f>
        <v>W/G/V</v>
      </c>
      <c r="ID4" s="217" t="str">
        <f>Language!$E$211</f>
        <v>DS</v>
      </c>
      <c r="IE4" s="217" t="str">
        <f>Language!$E$212</f>
        <v>exact</v>
      </c>
      <c r="IF4" s="217" t="str">
        <f>Language!$E$224</f>
        <v>grote aant.</v>
      </c>
      <c r="IG4" s="218" t="str">
        <f>Language!$E$213</f>
        <v>teams</v>
      </c>
      <c r="II4" s="222"/>
      <c r="IJ4" s="215"/>
      <c r="IK4" s="215"/>
      <c r="IL4" s="216"/>
      <c r="IM4" s="856" t="str">
        <f>Language!$E$209</f>
        <v>Result.</v>
      </c>
      <c r="IN4" s="856"/>
      <c r="IO4" s="217" t="str">
        <f>Language!$E$219</f>
        <v>Finale</v>
      </c>
      <c r="IP4" s="217" t="str">
        <f>Language!$E$210</f>
        <v>W/G/V</v>
      </c>
      <c r="IQ4" s="217" t="str">
        <f>Language!$E$211</f>
        <v>DS</v>
      </c>
      <c r="IR4" s="217" t="str">
        <f>Language!$E$212</f>
        <v>exact</v>
      </c>
      <c r="IS4" s="217" t="str">
        <f>Language!$E$224</f>
        <v>grote aant.</v>
      </c>
      <c r="IT4" s="218" t="str">
        <f>Language!$E$213</f>
        <v>teams</v>
      </c>
      <c r="IV4" s="222"/>
      <c r="IW4" s="215"/>
      <c r="IX4" s="215"/>
      <c r="IY4" s="216"/>
      <c r="IZ4" s="856" t="str">
        <f>Language!$E$209</f>
        <v>Result.</v>
      </c>
      <c r="JA4" s="856"/>
      <c r="JB4" s="217" t="str">
        <f>Language!$E$219</f>
        <v>Finale</v>
      </c>
      <c r="JC4" s="217" t="str">
        <f>Language!$E$210</f>
        <v>W/G/V</v>
      </c>
      <c r="JD4" s="217" t="str">
        <f>Language!$E$211</f>
        <v>DS</v>
      </c>
      <c r="JE4" s="217" t="str">
        <f>Language!$E$212</f>
        <v>exact</v>
      </c>
      <c r="JF4" s="217" t="str">
        <f>Language!$E$224</f>
        <v>grote aant.</v>
      </c>
      <c r="JG4" s="218" t="str">
        <f>Language!$E$213</f>
        <v>teams</v>
      </c>
      <c r="JI4" s="222"/>
      <c r="JJ4" s="215"/>
      <c r="JK4" s="215"/>
      <c r="JL4" s="216"/>
      <c r="JM4" s="856" t="str">
        <f>Language!$E$209</f>
        <v>Result.</v>
      </c>
      <c r="JN4" s="856"/>
      <c r="JO4" s="217" t="str">
        <f>Language!$E$219</f>
        <v>Finale</v>
      </c>
      <c r="JP4" s="217" t="str">
        <f>Language!$E$210</f>
        <v>W/G/V</v>
      </c>
      <c r="JQ4" s="217" t="str">
        <f>Language!$E$211</f>
        <v>DS</v>
      </c>
      <c r="JR4" s="217" t="str">
        <f>Language!$E$212</f>
        <v>exact</v>
      </c>
      <c r="JS4" s="217" t="str">
        <f>Language!$E$224</f>
        <v>grote aant.</v>
      </c>
      <c r="JT4" s="218" t="str">
        <f>Language!$E$213</f>
        <v>teams</v>
      </c>
      <c r="JV4" s="222"/>
      <c r="JW4" s="215"/>
      <c r="JX4" s="215"/>
      <c r="JY4" s="216"/>
      <c r="JZ4" s="856" t="str">
        <f>Language!$E$209</f>
        <v>Result.</v>
      </c>
      <c r="KA4" s="856"/>
      <c r="KB4" s="217" t="str">
        <f>Language!$E$219</f>
        <v>Finale</v>
      </c>
      <c r="KC4" s="217" t="str">
        <f>Language!$E$210</f>
        <v>W/G/V</v>
      </c>
      <c r="KD4" s="217" t="str">
        <f>Language!$E$211</f>
        <v>DS</v>
      </c>
      <c r="KE4" s="217" t="str">
        <f>Language!$E$212</f>
        <v>exact</v>
      </c>
      <c r="KF4" s="217" t="str">
        <f>Language!$E$224</f>
        <v>grote aant.</v>
      </c>
      <c r="KG4" s="218" t="str">
        <f>Language!$E$213</f>
        <v>teams</v>
      </c>
      <c r="KI4" s="222"/>
      <c r="KJ4" s="215"/>
      <c r="KK4" s="215"/>
      <c r="KL4" s="216"/>
      <c r="KM4" s="856" t="str">
        <f>Language!$E$209</f>
        <v>Result.</v>
      </c>
      <c r="KN4" s="856"/>
      <c r="KO4" s="217" t="str">
        <f>Language!$E$219</f>
        <v>Finale</v>
      </c>
      <c r="KP4" s="217" t="str">
        <f>Language!$E$210</f>
        <v>W/G/V</v>
      </c>
      <c r="KQ4" s="217" t="str">
        <f>Language!$E$211</f>
        <v>DS</v>
      </c>
      <c r="KR4" s="217" t="str">
        <f>Language!$E$212</f>
        <v>exact</v>
      </c>
      <c r="KS4" s="217" t="str">
        <f>Language!$E$224</f>
        <v>grote aant.</v>
      </c>
      <c r="KT4" s="218" t="str">
        <f>Language!$E$213</f>
        <v>teams</v>
      </c>
      <c r="KV4" s="222"/>
      <c r="KW4" s="215"/>
      <c r="KX4" s="215"/>
      <c r="KY4" s="216"/>
      <c r="KZ4" s="856" t="str">
        <f>Language!$E$209</f>
        <v>Result.</v>
      </c>
      <c r="LA4" s="856"/>
      <c r="LB4" s="217" t="str">
        <f>Language!$E$219</f>
        <v>Finale</v>
      </c>
      <c r="LC4" s="217" t="str">
        <f>Language!$E$210</f>
        <v>W/G/V</v>
      </c>
      <c r="LD4" s="217" t="str">
        <f>Language!$E$211</f>
        <v>DS</v>
      </c>
      <c r="LE4" s="217" t="str">
        <f>Language!$E$212</f>
        <v>exact</v>
      </c>
      <c r="LF4" s="217" t="str">
        <f>Language!$E$224</f>
        <v>grote aant.</v>
      </c>
      <c r="LG4" s="218" t="str">
        <f>Language!$E$213</f>
        <v>teams</v>
      </c>
      <c r="LI4" s="222"/>
      <c r="LJ4" s="215"/>
      <c r="LK4" s="215"/>
      <c r="LL4" s="216"/>
      <c r="LM4" s="856" t="str">
        <f>Language!$E$209</f>
        <v>Result.</v>
      </c>
      <c r="LN4" s="856"/>
      <c r="LO4" s="217" t="str">
        <f>Language!$E$219</f>
        <v>Finale</v>
      </c>
      <c r="LP4" s="217" t="str">
        <f>Language!$E$210</f>
        <v>W/G/V</v>
      </c>
      <c r="LQ4" s="217" t="str">
        <f>Language!$E$211</f>
        <v>DS</v>
      </c>
      <c r="LR4" s="217" t="str">
        <f>Language!$E$212</f>
        <v>exact</v>
      </c>
      <c r="LS4" s="217" t="str">
        <f>Language!$E$224</f>
        <v>grote aant.</v>
      </c>
      <c r="LT4" s="218" t="str">
        <f>Language!$E$213</f>
        <v>teams</v>
      </c>
      <c r="LV4" s="222"/>
      <c r="LW4" s="215"/>
      <c r="LX4" s="215"/>
      <c r="LY4" s="216"/>
      <c r="LZ4" s="856" t="str">
        <f>Language!$E$209</f>
        <v>Result.</v>
      </c>
      <c r="MA4" s="856"/>
      <c r="MB4" s="217" t="str">
        <f>Language!$E$219</f>
        <v>Finale</v>
      </c>
      <c r="MC4" s="217" t="str">
        <f>Language!$E$210</f>
        <v>W/G/V</v>
      </c>
      <c r="MD4" s="217" t="str">
        <f>Language!$E$211</f>
        <v>DS</v>
      </c>
      <c r="ME4" s="217" t="str">
        <f>Language!$E$212</f>
        <v>exact</v>
      </c>
      <c r="MF4" s="217" t="str">
        <f>Language!$E$224</f>
        <v>grote aant.</v>
      </c>
      <c r="MG4" s="218" t="str">
        <f>Language!$E$213</f>
        <v>teams</v>
      </c>
    </row>
    <row r="5" spans="1:345" ht="24" customHeight="1">
      <c r="A5" s="195"/>
      <c r="B5" s="205" t="str">
        <f>Language!$E$130&amp;" A"</f>
        <v>Groep A</v>
      </c>
      <c r="C5" s="206"/>
      <c r="D5" s="207"/>
      <c r="E5" s="208"/>
      <c r="F5" s="209"/>
      <c r="G5" s="210"/>
      <c r="I5" s="205" t="str">
        <f t="shared" ref="I5:I68" si="0">$B5</f>
        <v>Groep A</v>
      </c>
      <c r="J5" s="207"/>
      <c r="K5" s="207"/>
      <c r="L5" s="208"/>
      <c r="M5" s="236"/>
      <c r="N5" s="237"/>
      <c r="O5" s="209"/>
      <c r="P5" s="220"/>
      <c r="Q5" s="220"/>
      <c r="R5" s="208"/>
      <c r="S5" s="208"/>
      <c r="T5" s="221"/>
      <c r="V5" s="205" t="str">
        <f t="shared" ref="V5:V68" si="1">$B5</f>
        <v>Groep A</v>
      </c>
      <c r="W5" s="207"/>
      <c r="X5" s="207"/>
      <c r="Y5" s="208"/>
      <c r="Z5" s="236"/>
      <c r="AA5" s="237"/>
      <c r="AB5" s="209"/>
      <c r="AC5" s="220"/>
      <c r="AD5" s="220"/>
      <c r="AE5" s="208"/>
      <c r="AF5" s="208"/>
      <c r="AG5" s="221"/>
      <c r="AI5" s="205" t="str">
        <f t="shared" ref="AI5:AI68" si="2">$B5</f>
        <v>Groep A</v>
      </c>
      <c r="AJ5" s="207"/>
      <c r="AK5" s="207"/>
      <c r="AL5" s="208"/>
      <c r="AM5" s="236"/>
      <c r="AN5" s="237"/>
      <c r="AO5" s="209"/>
      <c r="AP5" s="220"/>
      <c r="AQ5" s="220"/>
      <c r="AR5" s="208"/>
      <c r="AS5" s="208"/>
      <c r="AT5" s="221"/>
      <c r="AV5" s="205" t="str">
        <f t="shared" ref="AV5:AV68" si="3">$B5</f>
        <v>Groep A</v>
      </c>
      <c r="AW5" s="207"/>
      <c r="AX5" s="207"/>
      <c r="AY5" s="208"/>
      <c r="AZ5" s="236"/>
      <c r="BA5" s="237"/>
      <c r="BB5" s="209"/>
      <c r="BC5" s="220"/>
      <c r="BD5" s="220"/>
      <c r="BE5" s="208"/>
      <c r="BF5" s="208"/>
      <c r="BG5" s="221"/>
      <c r="BI5" s="205" t="str">
        <f t="shared" ref="BI5:BI68" si="4">$B5</f>
        <v>Groep A</v>
      </c>
      <c r="BJ5" s="207"/>
      <c r="BK5" s="207"/>
      <c r="BL5" s="208"/>
      <c r="BM5" s="236"/>
      <c r="BN5" s="237"/>
      <c r="BO5" s="209"/>
      <c r="BP5" s="220"/>
      <c r="BQ5" s="220"/>
      <c r="BR5" s="208"/>
      <c r="BS5" s="208"/>
      <c r="BT5" s="221"/>
      <c r="BV5" s="205" t="str">
        <f t="shared" ref="BV5:BV68" si="5">$B5</f>
        <v>Groep A</v>
      </c>
      <c r="BW5" s="207"/>
      <c r="BX5" s="207"/>
      <c r="BY5" s="208"/>
      <c r="BZ5" s="236"/>
      <c r="CA5" s="237"/>
      <c r="CB5" s="209"/>
      <c r="CC5" s="220"/>
      <c r="CD5" s="220"/>
      <c r="CE5" s="208"/>
      <c r="CF5" s="208"/>
      <c r="CG5" s="221"/>
      <c r="CI5" s="205" t="str">
        <f t="shared" ref="CI5:CI68" si="6">$B5</f>
        <v>Groep A</v>
      </c>
      <c r="CJ5" s="207"/>
      <c r="CK5" s="207"/>
      <c r="CL5" s="208"/>
      <c r="CM5" s="236"/>
      <c r="CN5" s="237"/>
      <c r="CO5" s="209"/>
      <c r="CP5" s="220"/>
      <c r="CQ5" s="220"/>
      <c r="CR5" s="208"/>
      <c r="CS5" s="208"/>
      <c r="CT5" s="221"/>
      <c r="CV5" s="205" t="str">
        <f t="shared" ref="CV5:CV68" si="7">$B5</f>
        <v>Groep A</v>
      </c>
      <c r="CW5" s="207"/>
      <c r="CX5" s="207"/>
      <c r="CY5" s="208"/>
      <c r="CZ5" s="236"/>
      <c r="DA5" s="237"/>
      <c r="DB5" s="209"/>
      <c r="DC5" s="220"/>
      <c r="DD5" s="220"/>
      <c r="DE5" s="208"/>
      <c r="DF5" s="208"/>
      <c r="DG5" s="221"/>
      <c r="DI5" s="205" t="str">
        <f t="shared" ref="DI5:DI68" si="8">$B5</f>
        <v>Groep A</v>
      </c>
      <c r="DJ5" s="207"/>
      <c r="DK5" s="207"/>
      <c r="DL5" s="208"/>
      <c r="DM5" s="236"/>
      <c r="DN5" s="237"/>
      <c r="DO5" s="209"/>
      <c r="DP5" s="220"/>
      <c r="DQ5" s="220"/>
      <c r="DR5" s="208"/>
      <c r="DS5" s="208"/>
      <c r="DT5" s="221"/>
      <c r="DV5" s="205" t="str">
        <f t="shared" ref="DV5:DV68" si="9">$B5</f>
        <v>Groep A</v>
      </c>
      <c r="DW5" s="207"/>
      <c r="DX5" s="207"/>
      <c r="DY5" s="208"/>
      <c r="DZ5" s="236"/>
      <c r="EA5" s="237"/>
      <c r="EB5" s="209"/>
      <c r="EC5" s="220"/>
      <c r="ED5" s="220"/>
      <c r="EE5" s="208"/>
      <c r="EF5" s="208"/>
      <c r="EG5" s="221"/>
      <c r="EI5" s="205" t="str">
        <f t="shared" ref="EI5:EI68" si="10">$B5</f>
        <v>Groep A</v>
      </c>
      <c r="EJ5" s="207"/>
      <c r="EK5" s="207"/>
      <c r="EL5" s="208"/>
      <c r="EM5" s="236"/>
      <c r="EN5" s="237"/>
      <c r="EO5" s="209"/>
      <c r="EP5" s="220"/>
      <c r="EQ5" s="220"/>
      <c r="ER5" s="208"/>
      <c r="ES5" s="208"/>
      <c r="ET5" s="221"/>
      <c r="EV5" s="205" t="str">
        <f t="shared" ref="EV5:EV68" si="11">$B5</f>
        <v>Groep A</v>
      </c>
      <c r="EW5" s="207"/>
      <c r="EX5" s="207"/>
      <c r="EY5" s="208"/>
      <c r="EZ5" s="236"/>
      <c r="FA5" s="237"/>
      <c r="FB5" s="209"/>
      <c r="FC5" s="220"/>
      <c r="FD5" s="220"/>
      <c r="FE5" s="208"/>
      <c r="FF5" s="208"/>
      <c r="FG5" s="221"/>
      <c r="FI5" s="205" t="str">
        <f t="shared" ref="FI5:FI68" si="12">$B5</f>
        <v>Groep A</v>
      </c>
      <c r="FJ5" s="207"/>
      <c r="FK5" s="207"/>
      <c r="FL5" s="208"/>
      <c r="FM5" s="236"/>
      <c r="FN5" s="237"/>
      <c r="FO5" s="209"/>
      <c r="FP5" s="220"/>
      <c r="FQ5" s="220"/>
      <c r="FR5" s="208"/>
      <c r="FS5" s="208"/>
      <c r="FT5" s="221"/>
      <c r="FV5" s="205" t="str">
        <f t="shared" ref="FV5:FV68" si="13">$B5</f>
        <v>Groep A</v>
      </c>
      <c r="FW5" s="207"/>
      <c r="FX5" s="207"/>
      <c r="FY5" s="208"/>
      <c r="FZ5" s="236"/>
      <c r="GA5" s="237"/>
      <c r="GB5" s="209"/>
      <c r="GC5" s="220"/>
      <c r="GD5" s="220"/>
      <c r="GE5" s="208"/>
      <c r="GF5" s="208"/>
      <c r="GG5" s="221"/>
      <c r="GI5" s="205" t="str">
        <f t="shared" ref="GI5:GI68" si="14">$B5</f>
        <v>Groep A</v>
      </c>
      <c r="GJ5" s="207"/>
      <c r="GK5" s="207"/>
      <c r="GL5" s="208"/>
      <c r="GM5" s="236"/>
      <c r="GN5" s="237"/>
      <c r="GO5" s="209"/>
      <c r="GP5" s="220"/>
      <c r="GQ5" s="220"/>
      <c r="GR5" s="208"/>
      <c r="GS5" s="208"/>
      <c r="GT5" s="221"/>
      <c r="GV5" s="205" t="str">
        <f t="shared" ref="GV5:GV68" si="15">$B5</f>
        <v>Groep A</v>
      </c>
      <c r="GW5" s="207"/>
      <c r="GX5" s="207"/>
      <c r="GY5" s="208"/>
      <c r="GZ5" s="236"/>
      <c r="HA5" s="237"/>
      <c r="HB5" s="209"/>
      <c r="HC5" s="220"/>
      <c r="HD5" s="220"/>
      <c r="HE5" s="208"/>
      <c r="HF5" s="208"/>
      <c r="HG5" s="221"/>
      <c r="HI5" s="205" t="str">
        <f t="shared" ref="HI5:HI68" si="16">$B5</f>
        <v>Groep A</v>
      </c>
      <c r="HJ5" s="207"/>
      <c r="HK5" s="207"/>
      <c r="HL5" s="208"/>
      <c r="HM5" s="236"/>
      <c r="HN5" s="237"/>
      <c r="HO5" s="209"/>
      <c r="HP5" s="220"/>
      <c r="HQ5" s="220"/>
      <c r="HR5" s="208"/>
      <c r="HS5" s="208"/>
      <c r="HT5" s="221"/>
      <c r="HV5" s="205" t="str">
        <f t="shared" ref="HV5:HV68" si="17">$B5</f>
        <v>Groep A</v>
      </c>
      <c r="HW5" s="207"/>
      <c r="HX5" s="207"/>
      <c r="HY5" s="208"/>
      <c r="HZ5" s="236"/>
      <c r="IA5" s="237"/>
      <c r="IB5" s="209"/>
      <c r="IC5" s="220"/>
      <c r="ID5" s="220"/>
      <c r="IE5" s="208"/>
      <c r="IF5" s="208"/>
      <c r="IG5" s="221"/>
      <c r="II5" s="205" t="str">
        <f t="shared" ref="II5:II68" si="18">$B5</f>
        <v>Groep A</v>
      </c>
      <c r="IJ5" s="207"/>
      <c r="IK5" s="207"/>
      <c r="IL5" s="208"/>
      <c r="IM5" s="236"/>
      <c r="IN5" s="237"/>
      <c r="IO5" s="209"/>
      <c r="IP5" s="220"/>
      <c r="IQ5" s="220"/>
      <c r="IR5" s="208"/>
      <c r="IS5" s="208"/>
      <c r="IT5" s="221"/>
      <c r="IV5" s="205" t="str">
        <f t="shared" ref="IV5:IV68" si="19">$B5</f>
        <v>Groep A</v>
      </c>
      <c r="IW5" s="207"/>
      <c r="IX5" s="207"/>
      <c r="IY5" s="208"/>
      <c r="IZ5" s="236"/>
      <c r="JA5" s="237"/>
      <c r="JB5" s="209"/>
      <c r="JC5" s="220"/>
      <c r="JD5" s="220"/>
      <c r="JE5" s="208"/>
      <c r="JF5" s="208"/>
      <c r="JG5" s="221"/>
      <c r="JI5" s="205" t="str">
        <f t="shared" ref="JI5:JI68" si="20">$B5</f>
        <v>Groep A</v>
      </c>
      <c r="JJ5" s="207"/>
      <c r="JK5" s="207"/>
      <c r="JL5" s="208"/>
      <c r="JM5" s="236"/>
      <c r="JN5" s="237"/>
      <c r="JO5" s="209"/>
      <c r="JP5" s="220"/>
      <c r="JQ5" s="220"/>
      <c r="JR5" s="208"/>
      <c r="JS5" s="208"/>
      <c r="JT5" s="221"/>
      <c r="JV5" s="205" t="str">
        <f t="shared" ref="JV5:JV68" si="21">$B5</f>
        <v>Groep A</v>
      </c>
      <c r="JW5" s="207"/>
      <c r="JX5" s="207"/>
      <c r="JY5" s="208"/>
      <c r="JZ5" s="236"/>
      <c r="KA5" s="237"/>
      <c r="KB5" s="209"/>
      <c r="KC5" s="220"/>
      <c r="KD5" s="220"/>
      <c r="KE5" s="208"/>
      <c r="KF5" s="208"/>
      <c r="KG5" s="221"/>
      <c r="KI5" s="205" t="str">
        <f t="shared" ref="KI5:KI68" si="22">$B5</f>
        <v>Groep A</v>
      </c>
      <c r="KJ5" s="207"/>
      <c r="KK5" s="207"/>
      <c r="KL5" s="208"/>
      <c r="KM5" s="236"/>
      <c r="KN5" s="237"/>
      <c r="KO5" s="209"/>
      <c r="KP5" s="220"/>
      <c r="KQ5" s="220"/>
      <c r="KR5" s="208"/>
      <c r="KS5" s="208"/>
      <c r="KT5" s="221"/>
      <c r="KV5" s="205" t="str">
        <f t="shared" ref="KV5:KV68" si="23">$B5</f>
        <v>Groep A</v>
      </c>
      <c r="KW5" s="207"/>
      <c r="KX5" s="207"/>
      <c r="KY5" s="208"/>
      <c r="KZ5" s="236"/>
      <c r="LA5" s="237"/>
      <c r="LB5" s="209"/>
      <c r="LC5" s="220"/>
      <c r="LD5" s="220"/>
      <c r="LE5" s="208"/>
      <c r="LF5" s="208"/>
      <c r="LG5" s="221"/>
      <c r="LI5" s="205" t="str">
        <f t="shared" ref="LI5:LI68" si="24">$B5</f>
        <v>Groep A</v>
      </c>
      <c r="LJ5" s="207"/>
      <c r="LK5" s="207"/>
      <c r="LL5" s="208"/>
      <c r="LM5" s="236"/>
      <c r="LN5" s="237"/>
      <c r="LO5" s="209"/>
      <c r="LP5" s="220"/>
      <c r="LQ5" s="220"/>
      <c r="LR5" s="208"/>
      <c r="LS5" s="208"/>
      <c r="LT5" s="221"/>
      <c r="LV5" s="205" t="str">
        <f t="shared" ref="LV5:LV68" si="25">$B5</f>
        <v>Groep A</v>
      </c>
      <c r="LW5" s="207"/>
      <c r="LX5" s="207"/>
      <c r="LY5" s="208"/>
      <c r="LZ5" s="236"/>
      <c r="MA5" s="237"/>
      <c r="MB5" s="209"/>
      <c r="MC5" s="220"/>
      <c r="MD5" s="220"/>
      <c r="ME5" s="208"/>
      <c r="MF5" s="208"/>
      <c r="MG5" s="221"/>
    </row>
    <row r="6" spans="1:345">
      <c r="B6" s="196">
        <f>INDEX(Groups!$C$7:$C$65,MATCH(C6,Groups!$D$7:$D$65,0))</f>
        <v>15</v>
      </c>
      <c r="C6" s="197" t="str">
        <f>CalcA!$P$22</f>
        <v>Mexico</v>
      </c>
      <c r="D6" s="198">
        <f>INDEX(Groups!$C$7:$C$65,MATCH(E6,Groups!$D$7:$D$65,0))</f>
        <v>60</v>
      </c>
      <c r="E6" s="197" t="str">
        <f>CalcA!$Q$22</f>
        <v>Zuid-Afrika</v>
      </c>
      <c r="F6" s="199" t="str">
        <f>CalcA!$R$22</f>
        <v/>
      </c>
      <c r="G6" s="200" t="str">
        <f>CalcA!$S$22</f>
        <v/>
      </c>
      <c r="I6" s="196">
        <f t="shared" si="0"/>
        <v>15</v>
      </c>
      <c r="J6" s="197" t="str">
        <f>$C6</f>
        <v>Mexico</v>
      </c>
      <c r="K6" s="198">
        <f t="shared" ref="K6:K69" si="26">$D6</f>
        <v>60</v>
      </c>
      <c r="L6" s="197" t="str">
        <f>$E6</f>
        <v>Zuid-Afrika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Zuid-Afrika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Zuid-Afrika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Zuid-Afrika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Zuid-Afrika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Zuid-Afrika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Zuid-Afrika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Zuid-Afrika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Zuid-Afrika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Zuid-Afrika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Zuid-Afrika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Zuid-Afrika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Zuid-Afrika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Zuid-Afrika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Zuid-Afrika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Zuid-Afrika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Zuid-Afrika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Zuid-Afrika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Zuid-Afrika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Zuid-Afrika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Zuid-Afrika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Zuid-Afrika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Zuid-Afrika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Zuid-Afrika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Zuid-Afrika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Zuid-Afrika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c r="B7" s="196">
        <f>INDEX(Groups!$C$7:$C$65,MATCH(C7,Groups!$D$7:$D$65,0))</f>
        <v>25</v>
      </c>
      <c r="C7" s="197" t="str">
        <f>CalcA!$P$23</f>
        <v>Rep. Korea</v>
      </c>
      <c r="D7" s="198">
        <f>INDEX(Groups!$C$7:$C$65,MATCH(E7,Groups!$D$7:$D$65,0))</f>
        <v>41</v>
      </c>
      <c r="E7" s="197" t="str">
        <f>CalcA!$Q$23</f>
        <v>Tsjechië</v>
      </c>
      <c r="F7" s="725" t="str">
        <f>CalcA!$R$23</f>
        <v/>
      </c>
      <c r="G7" s="200" t="str">
        <f>CalcA!$S$23</f>
        <v/>
      </c>
      <c r="I7" s="196">
        <f t="shared" si="0"/>
        <v>25</v>
      </c>
      <c r="J7" s="197" t="str">
        <f t="shared" ref="J7:J11" si="104">$C7</f>
        <v>Rep. Korea</v>
      </c>
      <c r="K7" s="198">
        <f t="shared" si="26"/>
        <v>41</v>
      </c>
      <c r="L7" s="197" t="str">
        <f t="shared" ref="L7:L11" si="105">$E7</f>
        <v>Tsjechië</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Korea</v>
      </c>
      <c r="X7" s="198">
        <f t="shared" si="29"/>
        <v>41</v>
      </c>
      <c r="Y7" s="197" t="str">
        <f t="shared" ref="Y7:Y11" si="107">$E7</f>
        <v>Tsjechië</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Korea</v>
      </c>
      <c r="AK7" s="198">
        <f t="shared" si="32"/>
        <v>41</v>
      </c>
      <c r="AL7" s="197" t="str">
        <f t="shared" ref="AL7:AL11" si="109">$E7</f>
        <v>Tsjechië</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Korea</v>
      </c>
      <c r="AX7" s="198">
        <f t="shared" si="35"/>
        <v>41</v>
      </c>
      <c r="AY7" s="197" t="str">
        <f t="shared" ref="AY7:AY11" si="111">$E7</f>
        <v>Tsjechië</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Korea</v>
      </c>
      <c r="BK7" s="198">
        <f t="shared" si="38"/>
        <v>41</v>
      </c>
      <c r="BL7" s="197" t="str">
        <f t="shared" ref="BL7:BL11" si="113">$E7</f>
        <v>Tsjechië</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Korea</v>
      </c>
      <c r="BX7" s="198">
        <f t="shared" si="41"/>
        <v>41</v>
      </c>
      <c r="BY7" s="197" t="str">
        <f t="shared" ref="BY7:BY11" si="115">$E7</f>
        <v>Tsjechië</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Korea</v>
      </c>
      <c r="CK7" s="198">
        <f t="shared" si="44"/>
        <v>41</v>
      </c>
      <c r="CL7" s="197" t="str">
        <f t="shared" ref="CL7:CL11" si="117">$E7</f>
        <v>Tsjechië</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Korea</v>
      </c>
      <c r="CX7" s="198">
        <f t="shared" si="47"/>
        <v>41</v>
      </c>
      <c r="CY7" s="197" t="str">
        <f t="shared" ref="CY7:CY11" si="119">$E7</f>
        <v>Tsjechië</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Korea</v>
      </c>
      <c r="DK7" s="198">
        <f t="shared" si="50"/>
        <v>41</v>
      </c>
      <c r="DL7" s="197" t="str">
        <f t="shared" ref="DL7:DL11" si="121">$E7</f>
        <v>Tsjechië</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Korea</v>
      </c>
      <c r="DX7" s="198">
        <f t="shared" si="53"/>
        <v>41</v>
      </c>
      <c r="DY7" s="197" t="str">
        <f t="shared" ref="DY7:DY11" si="123">$E7</f>
        <v>Tsjechië</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Korea</v>
      </c>
      <c r="EK7" s="198">
        <f t="shared" si="56"/>
        <v>41</v>
      </c>
      <c r="EL7" s="197" t="str">
        <f t="shared" ref="EL7:EL11" si="125">$E7</f>
        <v>Tsjechië</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Korea</v>
      </c>
      <c r="EX7" s="198">
        <f t="shared" si="59"/>
        <v>41</v>
      </c>
      <c r="EY7" s="197" t="str">
        <f t="shared" ref="EY7:EY11" si="127">$E7</f>
        <v>Tsjechië</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Korea</v>
      </c>
      <c r="FK7" s="198">
        <f t="shared" si="62"/>
        <v>41</v>
      </c>
      <c r="FL7" s="197" t="str">
        <f t="shared" ref="FL7:FL11" si="129">$E7</f>
        <v>Tsjechië</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Korea</v>
      </c>
      <c r="FX7" s="198">
        <f t="shared" si="65"/>
        <v>41</v>
      </c>
      <c r="FY7" s="197" t="str">
        <f t="shared" ref="FY7:FY11" si="131">$E7</f>
        <v>Tsjechië</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Korea</v>
      </c>
      <c r="GK7" s="198">
        <f t="shared" si="68"/>
        <v>41</v>
      </c>
      <c r="GL7" s="197" t="str">
        <f t="shared" ref="GL7:GL11" si="133">$E7</f>
        <v>Tsjechië</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Korea</v>
      </c>
      <c r="GX7" s="198">
        <f t="shared" si="71"/>
        <v>41</v>
      </c>
      <c r="GY7" s="197" t="str">
        <f t="shared" ref="GY7:GY11" si="135">$E7</f>
        <v>Tsjechië</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Korea</v>
      </c>
      <c r="HK7" s="198">
        <f t="shared" si="74"/>
        <v>41</v>
      </c>
      <c r="HL7" s="197" t="str">
        <f t="shared" ref="HL7:HL11" si="137">$E7</f>
        <v>Tsjechië</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Korea</v>
      </c>
      <c r="HX7" s="198">
        <f t="shared" si="77"/>
        <v>41</v>
      </c>
      <c r="HY7" s="197" t="str">
        <f t="shared" ref="HY7:HY11" si="139">$E7</f>
        <v>Tsjechië</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Korea</v>
      </c>
      <c r="IK7" s="198">
        <f t="shared" si="80"/>
        <v>41</v>
      </c>
      <c r="IL7" s="197" t="str">
        <f t="shared" ref="IL7:IL11" si="141">$E7</f>
        <v>Tsjechië</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Korea</v>
      </c>
      <c r="IX7" s="198">
        <f t="shared" si="83"/>
        <v>41</v>
      </c>
      <c r="IY7" s="197" t="str">
        <f t="shared" ref="IY7:IY11" si="143">$E7</f>
        <v>Tsjechië</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Korea</v>
      </c>
      <c r="JK7" s="198">
        <f t="shared" si="86"/>
        <v>41</v>
      </c>
      <c r="JL7" s="197" t="str">
        <f t="shared" ref="JL7:JL11" si="145">$E7</f>
        <v>Tsjechië</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Korea</v>
      </c>
      <c r="JX7" s="198">
        <f t="shared" si="89"/>
        <v>41</v>
      </c>
      <c r="JY7" s="197" t="str">
        <f t="shared" ref="JY7:JY11" si="147">$E7</f>
        <v>Tsjechië</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Korea</v>
      </c>
      <c r="KK7" s="198">
        <f t="shared" si="92"/>
        <v>41</v>
      </c>
      <c r="KL7" s="197" t="str">
        <f t="shared" ref="KL7:KL11" si="149">$E7</f>
        <v>Tsjechië</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Korea</v>
      </c>
      <c r="KX7" s="198">
        <f t="shared" si="95"/>
        <v>41</v>
      </c>
      <c r="KY7" s="197" t="str">
        <f t="shared" ref="KY7:KY11" si="151">$E7</f>
        <v>Tsjechië</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Korea</v>
      </c>
      <c r="LK7" s="198">
        <f t="shared" si="98"/>
        <v>41</v>
      </c>
      <c r="LL7" s="197" t="str">
        <f t="shared" ref="LL7:LL11" si="153">$E7</f>
        <v>Tsjechië</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Korea</v>
      </c>
      <c r="LX7" s="198">
        <f t="shared" si="101"/>
        <v>41</v>
      </c>
      <c r="LY7" s="197" t="str">
        <f t="shared" ref="LY7:LY11" si="155">$E7</f>
        <v>Tsjechië</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c r="B8" s="196">
        <f>INDEX(Groups!$C$7:$C$65,MATCH(C8,Groups!$D$7:$D$65,0))</f>
        <v>41</v>
      </c>
      <c r="C8" s="197" t="str">
        <f>CalcA!$P$24</f>
        <v>Tsjechië</v>
      </c>
      <c r="D8" s="198">
        <f>INDEX(Groups!$C$7:$C$65,MATCH(E8,Groups!$D$7:$D$65,0))</f>
        <v>60</v>
      </c>
      <c r="E8" s="197" t="str">
        <f>CalcA!$Q$24</f>
        <v>Zuid-Afrika</v>
      </c>
      <c r="F8" s="199" t="str">
        <f>CalcA!$R$24</f>
        <v/>
      </c>
      <c r="G8" s="200" t="str">
        <f>CalcA!$S$24</f>
        <v/>
      </c>
      <c r="I8" s="196">
        <f t="shared" si="0"/>
        <v>41</v>
      </c>
      <c r="J8" s="197" t="str">
        <f t="shared" si="104"/>
        <v>Tsjechië</v>
      </c>
      <c r="K8" s="198">
        <f t="shared" si="26"/>
        <v>60</v>
      </c>
      <c r="L8" s="197" t="str">
        <f t="shared" si="105"/>
        <v>Zuid-Afrika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Tsjechië</v>
      </c>
      <c r="X8" s="198">
        <f t="shared" si="29"/>
        <v>60</v>
      </c>
      <c r="Y8" s="197" t="str">
        <f t="shared" si="107"/>
        <v>Zuid-Afrika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Tsjechië</v>
      </c>
      <c r="AK8" s="198">
        <f t="shared" si="32"/>
        <v>60</v>
      </c>
      <c r="AL8" s="197" t="str">
        <f t="shared" si="109"/>
        <v>Zuid-Afrika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Tsjechië</v>
      </c>
      <c r="AX8" s="198">
        <f t="shared" si="35"/>
        <v>60</v>
      </c>
      <c r="AY8" s="197" t="str">
        <f t="shared" si="111"/>
        <v>Zuid-Afrika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Tsjechië</v>
      </c>
      <c r="BK8" s="198">
        <f t="shared" si="38"/>
        <v>60</v>
      </c>
      <c r="BL8" s="197" t="str">
        <f t="shared" si="113"/>
        <v>Zuid-Afrika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Tsjechië</v>
      </c>
      <c r="BX8" s="198">
        <f t="shared" si="41"/>
        <v>60</v>
      </c>
      <c r="BY8" s="197" t="str">
        <f t="shared" si="115"/>
        <v>Zuid-Afrika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Tsjechië</v>
      </c>
      <c r="CK8" s="198">
        <f t="shared" si="44"/>
        <v>60</v>
      </c>
      <c r="CL8" s="197" t="str">
        <f t="shared" si="117"/>
        <v>Zuid-Afrika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Tsjechië</v>
      </c>
      <c r="CX8" s="198">
        <f t="shared" si="47"/>
        <v>60</v>
      </c>
      <c r="CY8" s="197" t="str">
        <f t="shared" si="119"/>
        <v>Zuid-Afrika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Tsjechië</v>
      </c>
      <c r="DK8" s="198">
        <f t="shared" si="50"/>
        <v>60</v>
      </c>
      <c r="DL8" s="197" t="str">
        <f t="shared" si="121"/>
        <v>Zuid-Afrika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Tsjechië</v>
      </c>
      <c r="DX8" s="198">
        <f t="shared" si="53"/>
        <v>60</v>
      </c>
      <c r="DY8" s="197" t="str">
        <f t="shared" si="123"/>
        <v>Zuid-Afrika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Tsjechië</v>
      </c>
      <c r="EK8" s="198">
        <f t="shared" si="56"/>
        <v>60</v>
      </c>
      <c r="EL8" s="197" t="str">
        <f t="shared" si="125"/>
        <v>Zuid-Afrika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Tsjechië</v>
      </c>
      <c r="EX8" s="198">
        <f t="shared" si="59"/>
        <v>60</v>
      </c>
      <c r="EY8" s="197" t="str">
        <f t="shared" si="127"/>
        <v>Zuid-Afrika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Tsjechië</v>
      </c>
      <c r="FK8" s="198">
        <f t="shared" si="62"/>
        <v>60</v>
      </c>
      <c r="FL8" s="197" t="str">
        <f t="shared" si="129"/>
        <v>Zuid-Afrika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Tsjechië</v>
      </c>
      <c r="FX8" s="198">
        <f t="shared" si="65"/>
        <v>60</v>
      </c>
      <c r="FY8" s="197" t="str">
        <f t="shared" si="131"/>
        <v>Zuid-Afrika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Tsjechië</v>
      </c>
      <c r="GK8" s="198">
        <f t="shared" si="68"/>
        <v>60</v>
      </c>
      <c r="GL8" s="197" t="str">
        <f t="shared" si="133"/>
        <v>Zuid-Afrika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Tsjechië</v>
      </c>
      <c r="GX8" s="198">
        <f t="shared" si="71"/>
        <v>60</v>
      </c>
      <c r="GY8" s="197" t="str">
        <f t="shared" si="135"/>
        <v>Zuid-Afrika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Tsjechië</v>
      </c>
      <c r="HK8" s="198">
        <f t="shared" si="74"/>
        <v>60</v>
      </c>
      <c r="HL8" s="197" t="str">
        <f t="shared" si="137"/>
        <v>Zuid-Afrika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Tsjechië</v>
      </c>
      <c r="HX8" s="198">
        <f t="shared" si="77"/>
        <v>60</v>
      </c>
      <c r="HY8" s="197" t="str">
        <f t="shared" si="139"/>
        <v>Zuid-Afrika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Tsjechië</v>
      </c>
      <c r="IK8" s="198">
        <f t="shared" si="80"/>
        <v>60</v>
      </c>
      <c r="IL8" s="197" t="str">
        <f t="shared" si="141"/>
        <v>Zuid-Afrika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Tsjechië</v>
      </c>
      <c r="IX8" s="198">
        <f t="shared" si="83"/>
        <v>60</v>
      </c>
      <c r="IY8" s="197" t="str">
        <f t="shared" si="143"/>
        <v>Zuid-Afrika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Tsjechië</v>
      </c>
      <c r="JK8" s="198">
        <f t="shared" si="86"/>
        <v>60</v>
      </c>
      <c r="JL8" s="197" t="str">
        <f t="shared" si="145"/>
        <v>Zuid-Afrika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Tsjechië</v>
      </c>
      <c r="JX8" s="198">
        <f t="shared" si="89"/>
        <v>60</v>
      </c>
      <c r="JY8" s="197" t="str">
        <f t="shared" si="147"/>
        <v>Zuid-Afrika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Tsjechië</v>
      </c>
      <c r="KK8" s="198">
        <f t="shared" si="92"/>
        <v>60</v>
      </c>
      <c r="KL8" s="197" t="str">
        <f t="shared" si="149"/>
        <v>Zuid-Afrika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Tsjechië</v>
      </c>
      <c r="KX8" s="198">
        <f t="shared" si="95"/>
        <v>60</v>
      </c>
      <c r="KY8" s="197" t="str">
        <f t="shared" si="151"/>
        <v>Zuid-Afrika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Tsjechië</v>
      </c>
      <c r="LK8" s="198">
        <f t="shared" si="98"/>
        <v>60</v>
      </c>
      <c r="LL8" s="197" t="str">
        <f t="shared" si="153"/>
        <v>Zuid-Afrika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Tsjechië</v>
      </c>
      <c r="LX8" s="198">
        <f t="shared" si="101"/>
        <v>60</v>
      </c>
      <c r="LY8" s="197" t="str">
        <f t="shared" si="155"/>
        <v>Zuid-Afrika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c r="B9" s="196">
        <f>INDEX(Groups!$C$7:$C$65,MATCH(C9,Groups!$D$7:$D$65,0))</f>
        <v>15</v>
      </c>
      <c r="C9" s="197" t="str">
        <f>CalcA!$P$25</f>
        <v>Mexico</v>
      </c>
      <c r="D9" s="198">
        <f>INDEX(Groups!$C$7:$C$65,MATCH(E9,Groups!$D$7:$D$65,0))</f>
        <v>25</v>
      </c>
      <c r="E9" s="197" t="str">
        <f>CalcA!$Q$25</f>
        <v>Rep. Korea</v>
      </c>
      <c r="F9" s="199" t="str">
        <f>CalcA!$R$25</f>
        <v/>
      </c>
      <c r="G9" s="200" t="str">
        <f>CalcA!$S$25</f>
        <v/>
      </c>
      <c r="I9" s="196">
        <f t="shared" si="0"/>
        <v>15</v>
      </c>
      <c r="J9" s="197" t="str">
        <f t="shared" si="104"/>
        <v>Mexico</v>
      </c>
      <c r="K9" s="198">
        <f t="shared" si="26"/>
        <v>25</v>
      </c>
      <c r="L9" s="197" t="str">
        <f t="shared" si="105"/>
        <v>Rep.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c r="B10" s="196">
        <f>INDEX(Groups!$C$7:$C$65,MATCH(C10,Groups!$D$7:$D$65,0))</f>
        <v>41</v>
      </c>
      <c r="C10" s="197" t="str">
        <f>CalcA!$P$26</f>
        <v>Tsjechië</v>
      </c>
      <c r="D10" s="198">
        <f>INDEX(Groups!$C$7:$C$65,MATCH(E10,Groups!$D$7:$D$65,0))</f>
        <v>15</v>
      </c>
      <c r="E10" s="197" t="str">
        <f>CalcA!$Q$26</f>
        <v>Mexico</v>
      </c>
      <c r="F10" s="199" t="str">
        <f>CalcA!$R$26</f>
        <v/>
      </c>
      <c r="G10" s="200" t="str">
        <f>CalcA!$S$26</f>
        <v/>
      </c>
      <c r="I10" s="196">
        <f t="shared" si="0"/>
        <v>41</v>
      </c>
      <c r="J10" s="197" t="str">
        <f t="shared" si="104"/>
        <v>Tsjechië</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Tsjechië</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Tsjechië</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Tsjechië</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Tsjechië</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Tsjechië</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Tsjechië</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Tsjechië</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Tsjechië</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Tsjechië</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Tsjechië</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Tsjechië</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Tsjechië</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Tsjechië</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Tsjechië</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Tsjechië</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Tsjechië</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Tsjechië</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Tsjechië</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Tsjechië</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Tsjechië</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Tsjechië</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Tsjechië</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Tsjechië</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Tsjechië</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Tsjechië</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c r="B11" s="196">
        <f>INDEX(Groups!$C$7:$C$65,MATCH(C11,Groups!$D$7:$D$65,0))</f>
        <v>60</v>
      </c>
      <c r="C11" s="197" t="str">
        <f>CalcA!$P$27</f>
        <v>Zuid-Afrika</v>
      </c>
      <c r="D11" s="198">
        <f>INDEX(Groups!$C$7:$C$65,MATCH(E11,Groups!$D$7:$D$65,0))</f>
        <v>25</v>
      </c>
      <c r="E11" s="197" t="str">
        <f>CalcA!$Q$27</f>
        <v>Rep. Korea</v>
      </c>
      <c r="F11" s="199" t="str">
        <f>CalcA!$R$27</f>
        <v/>
      </c>
      <c r="G11" s="200" t="str">
        <f>CalcA!$S$27</f>
        <v/>
      </c>
      <c r="I11" s="196">
        <f t="shared" si="0"/>
        <v>60</v>
      </c>
      <c r="J11" s="197" t="str">
        <f t="shared" si="104"/>
        <v>Zuid-Afrika</v>
      </c>
      <c r="K11" s="198">
        <f t="shared" si="26"/>
        <v>25</v>
      </c>
      <c r="L11" s="197" t="str">
        <f t="shared" si="105"/>
        <v>Rep. Korea</v>
      </c>
      <c r="M11" s="232"/>
      <c r="N11" s="232"/>
      <c r="O11" s="473"/>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4"/>
      <c r="V11" s="196">
        <f t="shared" si="1"/>
        <v>60</v>
      </c>
      <c r="W11" s="197" t="str">
        <f t="shared" si="106"/>
        <v>Zuid-Afrika</v>
      </c>
      <c r="X11" s="198">
        <f t="shared" si="29"/>
        <v>25</v>
      </c>
      <c r="Y11" s="197" t="str">
        <f t="shared" si="107"/>
        <v>Rep. Korea</v>
      </c>
      <c r="Z11" s="232"/>
      <c r="AA11" s="232"/>
      <c r="AB11" s="473"/>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4"/>
      <c r="AI11" s="196">
        <f t="shared" si="2"/>
        <v>60</v>
      </c>
      <c r="AJ11" s="197" t="str">
        <f t="shared" si="108"/>
        <v>Zuid-Afrika</v>
      </c>
      <c r="AK11" s="198">
        <f t="shared" si="32"/>
        <v>25</v>
      </c>
      <c r="AL11" s="197" t="str">
        <f t="shared" si="109"/>
        <v>Rep. Korea</v>
      </c>
      <c r="AM11" s="232"/>
      <c r="AN11" s="232"/>
      <c r="AO11" s="473"/>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4"/>
      <c r="AV11" s="196">
        <f t="shared" si="3"/>
        <v>60</v>
      </c>
      <c r="AW11" s="197" t="str">
        <f t="shared" si="110"/>
        <v>Zuid-Afrika</v>
      </c>
      <c r="AX11" s="198">
        <f t="shared" si="35"/>
        <v>25</v>
      </c>
      <c r="AY11" s="197" t="str">
        <f t="shared" si="111"/>
        <v>Rep. Korea</v>
      </c>
      <c r="AZ11" s="232"/>
      <c r="BA11" s="232"/>
      <c r="BB11" s="473"/>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4"/>
      <c r="BI11" s="196">
        <f t="shared" si="4"/>
        <v>60</v>
      </c>
      <c r="BJ11" s="197" t="str">
        <f t="shared" si="112"/>
        <v>Zuid-Afrika</v>
      </c>
      <c r="BK11" s="198">
        <f t="shared" si="38"/>
        <v>25</v>
      </c>
      <c r="BL11" s="197" t="str">
        <f t="shared" si="113"/>
        <v>Rep. Korea</v>
      </c>
      <c r="BM11" s="232"/>
      <c r="BN11" s="232"/>
      <c r="BO11" s="473"/>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4"/>
      <c r="BV11" s="196">
        <f t="shared" si="5"/>
        <v>60</v>
      </c>
      <c r="BW11" s="197" t="str">
        <f t="shared" si="114"/>
        <v>Zuid-Afrika</v>
      </c>
      <c r="BX11" s="198">
        <f t="shared" si="41"/>
        <v>25</v>
      </c>
      <c r="BY11" s="197" t="str">
        <f t="shared" si="115"/>
        <v>Rep. Korea</v>
      </c>
      <c r="BZ11" s="232"/>
      <c r="CA11" s="232"/>
      <c r="CB11" s="473"/>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4"/>
      <c r="CI11" s="196">
        <f t="shared" si="6"/>
        <v>60</v>
      </c>
      <c r="CJ11" s="197" t="str">
        <f t="shared" si="116"/>
        <v>Zuid-Afrika</v>
      </c>
      <c r="CK11" s="198">
        <f t="shared" si="44"/>
        <v>25</v>
      </c>
      <c r="CL11" s="197" t="str">
        <f t="shared" si="117"/>
        <v>Rep. Korea</v>
      </c>
      <c r="CM11" s="232"/>
      <c r="CN11" s="232"/>
      <c r="CO11" s="473"/>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4"/>
      <c r="CV11" s="196">
        <f t="shared" si="7"/>
        <v>60</v>
      </c>
      <c r="CW11" s="197" t="str">
        <f t="shared" si="118"/>
        <v>Zuid-Afrika</v>
      </c>
      <c r="CX11" s="198">
        <f t="shared" si="47"/>
        <v>25</v>
      </c>
      <c r="CY11" s="197" t="str">
        <f t="shared" si="119"/>
        <v>Rep. Korea</v>
      </c>
      <c r="CZ11" s="232"/>
      <c r="DA11" s="232"/>
      <c r="DB11" s="473"/>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4"/>
      <c r="DI11" s="196">
        <f t="shared" si="8"/>
        <v>60</v>
      </c>
      <c r="DJ11" s="197" t="str">
        <f t="shared" si="120"/>
        <v>Zuid-Afrika</v>
      </c>
      <c r="DK11" s="198">
        <f t="shared" si="50"/>
        <v>25</v>
      </c>
      <c r="DL11" s="197" t="str">
        <f t="shared" si="121"/>
        <v>Rep. Korea</v>
      </c>
      <c r="DM11" s="232"/>
      <c r="DN11" s="232"/>
      <c r="DO11" s="473"/>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4"/>
      <c r="DV11" s="196">
        <f t="shared" si="9"/>
        <v>60</v>
      </c>
      <c r="DW11" s="197" t="str">
        <f t="shared" si="122"/>
        <v>Zuid-Afrika</v>
      </c>
      <c r="DX11" s="198">
        <f t="shared" si="53"/>
        <v>25</v>
      </c>
      <c r="DY11" s="197" t="str">
        <f t="shared" si="123"/>
        <v>Rep. Korea</v>
      </c>
      <c r="DZ11" s="232"/>
      <c r="EA11" s="232"/>
      <c r="EB11" s="473"/>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4"/>
      <c r="EI11" s="196">
        <f t="shared" si="10"/>
        <v>60</v>
      </c>
      <c r="EJ11" s="197" t="str">
        <f t="shared" si="124"/>
        <v>Zuid-Afrika</v>
      </c>
      <c r="EK11" s="198">
        <f t="shared" si="56"/>
        <v>25</v>
      </c>
      <c r="EL11" s="197" t="str">
        <f t="shared" si="125"/>
        <v>Rep. Korea</v>
      </c>
      <c r="EM11" s="232"/>
      <c r="EN11" s="232"/>
      <c r="EO11" s="473"/>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4"/>
      <c r="EV11" s="196">
        <f t="shared" si="11"/>
        <v>60</v>
      </c>
      <c r="EW11" s="197" t="str">
        <f t="shared" si="126"/>
        <v>Zuid-Afrika</v>
      </c>
      <c r="EX11" s="198">
        <f t="shared" si="59"/>
        <v>25</v>
      </c>
      <c r="EY11" s="197" t="str">
        <f t="shared" si="127"/>
        <v>Rep. Korea</v>
      </c>
      <c r="EZ11" s="232"/>
      <c r="FA11" s="232"/>
      <c r="FB11" s="473"/>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4"/>
      <c r="FI11" s="196">
        <f t="shared" si="12"/>
        <v>60</v>
      </c>
      <c r="FJ11" s="197" t="str">
        <f t="shared" si="128"/>
        <v>Zuid-Afrika</v>
      </c>
      <c r="FK11" s="198">
        <f t="shared" si="62"/>
        <v>25</v>
      </c>
      <c r="FL11" s="197" t="str">
        <f t="shared" si="129"/>
        <v>Rep. Korea</v>
      </c>
      <c r="FM11" s="232"/>
      <c r="FN11" s="232"/>
      <c r="FO11" s="473"/>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4"/>
      <c r="FV11" s="196">
        <f t="shared" si="13"/>
        <v>60</v>
      </c>
      <c r="FW11" s="197" t="str">
        <f t="shared" si="130"/>
        <v>Zuid-Afrika</v>
      </c>
      <c r="FX11" s="198">
        <f t="shared" si="65"/>
        <v>25</v>
      </c>
      <c r="FY11" s="197" t="str">
        <f t="shared" si="131"/>
        <v>Rep. Korea</v>
      </c>
      <c r="FZ11" s="232"/>
      <c r="GA11" s="232"/>
      <c r="GB11" s="473"/>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4"/>
      <c r="GI11" s="196">
        <f t="shared" si="14"/>
        <v>60</v>
      </c>
      <c r="GJ11" s="197" t="str">
        <f t="shared" si="132"/>
        <v>Zuid-Afrika</v>
      </c>
      <c r="GK11" s="198">
        <f t="shared" si="68"/>
        <v>25</v>
      </c>
      <c r="GL11" s="197" t="str">
        <f t="shared" si="133"/>
        <v>Rep. Korea</v>
      </c>
      <c r="GM11" s="232"/>
      <c r="GN11" s="232"/>
      <c r="GO11" s="473"/>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4"/>
      <c r="GV11" s="196">
        <f t="shared" si="15"/>
        <v>60</v>
      </c>
      <c r="GW11" s="197" t="str">
        <f t="shared" si="134"/>
        <v>Zuid-Afrika</v>
      </c>
      <c r="GX11" s="198">
        <f t="shared" si="71"/>
        <v>25</v>
      </c>
      <c r="GY11" s="197" t="str">
        <f t="shared" si="135"/>
        <v>Rep. Korea</v>
      </c>
      <c r="GZ11" s="232"/>
      <c r="HA11" s="232"/>
      <c r="HB11" s="473"/>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4"/>
      <c r="HI11" s="196">
        <f t="shared" si="16"/>
        <v>60</v>
      </c>
      <c r="HJ11" s="197" t="str">
        <f t="shared" si="136"/>
        <v>Zuid-Afrika</v>
      </c>
      <c r="HK11" s="198">
        <f t="shared" si="74"/>
        <v>25</v>
      </c>
      <c r="HL11" s="197" t="str">
        <f t="shared" si="137"/>
        <v>Rep. Korea</v>
      </c>
      <c r="HM11" s="232"/>
      <c r="HN11" s="232"/>
      <c r="HO11" s="473"/>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4"/>
      <c r="HV11" s="196">
        <f t="shared" si="17"/>
        <v>60</v>
      </c>
      <c r="HW11" s="197" t="str">
        <f t="shared" si="138"/>
        <v>Zuid-Afrika</v>
      </c>
      <c r="HX11" s="198">
        <f t="shared" si="77"/>
        <v>25</v>
      </c>
      <c r="HY11" s="197" t="str">
        <f t="shared" si="139"/>
        <v>Rep. Korea</v>
      </c>
      <c r="HZ11" s="232"/>
      <c r="IA11" s="232"/>
      <c r="IB11" s="473"/>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4"/>
      <c r="II11" s="196">
        <f t="shared" si="18"/>
        <v>60</v>
      </c>
      <c r="IJ11" s="197" t="str">
        <f t="shared" si="140"/>
        <v>Zuid-Afrika</v>
      </c>
      <c r="IK11" s="198">
        <f t="shared" si="80"/>
        <v>25</v>
      </c>
      <c r="IL11" s="197" t="str">
        <f t="shared" si="141"/>
        <v>Rep. Korea</v>
      </c>
      <c r="IM11" s="232"/>
      <c r="IN11" s="232"/>
      <c r="IO11" s="473"/>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4"/>
      <c r="IV11" s="196">
        <f t="shared" si="19"/>
        <v>60</v>
      </c>
      <c r="IW11" s="197" t="str">
        <f t="shared" si="142"/>
        <v>Zuid-Afrika</v>
      </c>
      <c r="IX11" s="198">
        <f t="shared" si="83"/>
        <v>25</v>
      </c>
      <c r="IY11" s="197" t="str">
        <f t="shared" si="143"/>
        <v>Rep. Korea</v>
      </c>
      <c r="IZ11" s="232"/>
      <c r="JA11" s="232"/>
      <c r="JB11" s="473"/>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4"/>
      <c r="JI11" s="196">
        <f t="shared" si="20"/>
        <v>60</v>
      </c>
      <c r="JJ11" s="197" t="str">
        <f t="shared" si="144"/>
        <v>Zuid-Afrika</v>
      </c>
      <c r="JK11" s="198">
        <f t="shared" si="86"/>
        <v>25</v>
      </c>
      <c r="JL11" s="197" t="str">
        <f t="shared" si="145"/>
        <v>Rep. Korea</v>
      </c>
      <c r="JM11" s="232"/>
      <c r="JN11" s="232"/>
      <c r="JO11" s="473"/>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4"/>
      <c r="JV11" s="196">
        <f t="shared" si="21"/>
        <v>60</v>
      </c>
      <c r="JW11" s="197" t="str">
        <f t="shared" si="146"/>
        <v>Zuid-Afrika</v>
      </c>
      <c r="JX11" s="198">
        <f t="shared" si="89"/>
        <v>25</v>
      </c>
      <c r="JY11" s="197" t="str">
        <f t="shared" si="147"/>
        <v>Rep. Korea</v>
      </c>
      <c r="JZ11" s="232"/>
      <c r="KA11" s="232"/>
      <c r="KB11" s="473"/>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4"/>
      <c r="KI11" s="196">
        <f t="shared" si="22"/>
        <v>60</v>
      </c>
      <c r="KJ11" s="197" t="str">
        <f t="shared" si="148"/>
        <v>Zuid-Afrika</v>
      </c>
      <c r="KK11" s="198">
        <f t="shared" si="92"/>
        <v>25</v>
      </c>
      <c r="KL11" s="197" t="str">
        <f t="shared" si="149"/>
        <v>Rep. Korea</v>
      </c>
      <c r="KM11" s="232"/>
      <c r="KN11" s="232"/>
      <c r="KO11" s="473"/>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4"/>
      <c r="KV11" s="196">
        <f t="shared" si="23"/>
        <v>60</v>
      </c>
      <c r="KW11" s="197" t="str">
        <f t="shared" si="150"/>
        <v>Zuid-Afrika</v>
      </c>
      <c r="KX11" s="198">
        <f t="shared" si="95"/>
        <v>25</v>
      </c>
      <c r="KY11" s="197" t="str">
        <f t="shared" si="151"/>
        <v>Rep. Korea</v>
      </c>
      <c r="KZ11" s="232"/>
      <c r="LA11" s="232"/>
      <c r="LB11" s="473"/>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4"/>
      <c r="LI11" s="196">
        <f t="shared" si="24"/>
        <v>60</v>
      </c>
      <c r="LJ11" s="197" t="str">
        <f t="shared" si="152"/>
        <v>Zuid-Afrika</v>
      </c>
      <c r="LK11" s="198">
        <f t="shared" si="98"/>
        <v>25</v>
      </c>
      <c r="LL11" s="197" t="str">
        <f t="shared" si="153"/>
        <v>Rep. Korea</v>
      </c>
      <c r="LM11" s="232"/>
      <c r="LN11" s="232"/>
      <c r="LO11" s="473"/>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4"/>
      <c r="LV11" s="196">
        <f t="shared" si="25"/>
        <v>60</v>
      </c>
      <c r="LW11" s="197" t="str">
        <f t="shared" si="154"/>
        <v>Zuid-Afrika</v>
      </c>
      <c r="LX11" s="198">
        <f t="shared" si="101"/>
        <v>25</v>
      </c>
      <c r="LY11" s="197" t="str">
        <f t="shared" si="155"/>
        <v>Rep. Korea</v>
      </c>
      <c r="LZ11" s="232"/>
      <c r="MA11" s="232"/>
      <c r="MB11" s="473"/>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4"/>
    </row>
    <row r="12" spans="1:345" ht="24" customHeight="1">
      <c r="B12" s="205" t="str">
        <f>Language!$E$130&amp;" B"</f>
        <v>Groep B</v>
      </c>
      <c r="C12" s="206"/>
      <c r="D12" s="211"/>
      <c r="E12" s="208"/>
      <c r="F12" s="212"/>
      <c r="G12" s="213"/>
      <c r="I12" s="205" t="str">
        <f t="shared" si="0"/>
        <v>Groep B</v>
      </c>
      <c r="J12" s="207"/>
      <c r="K12" s="211"/>
      <c r="L12" s="208"/>
      <c r="M12" s="236"/>
      <c r="N12" s="237"/>
      <c r="O12" s="209"/>
      <c r="P12" s="220"/>
      <c r="Q12" s="220"/>
      <c r="R12" s="208"/>
      <c r="S12" s="208"/>
      <c r="T12" s="221"/>
      <c r="V12" s="205" t="str">
        <f t="shared" si="1"/>
        <v>Groep B</v>
      </c>
      <c r="W12" s="207"/>
      <c r="X12" s="211"/>
      <c r="Y12" s="208"/>
      <c r="Z12" s="236"/>
      <c r="AA12" s="237"/>
      <c r="AB12" s="209"/>
      <c r="AC12" s="220"/>
      <c r="AD12" s="220"/>
      <c r="AE12" s="208"/>
      <c r="AF12" s="208"/>
      <c r="AG12" s="221"/>
      <c r="AI12" s="205" t="str">
        <f t="shared" si="2"/>
        <v>Groep B</v>
      </c>
      <c r="AJ12" s="207"/>
      <c r="AK12" s="211"/>
      <c r="AL12" s="208"/>
      <c r="AM12" s="236"/>
      <c r="AN12" s="237"/>
      <c r="AO12" s="209"/>
      <c r="AP12" s="220"/>
      <c r="AQ12" s="220"/>
      <c r="AR12" s="208"/>
      <c r="AS12" s="208"/>
      <c r="AT12" s="221"/>
      <c r="AV12" s="205" t="str">
        <f t="shared" si="3"/>
        <v>Groep B</v>
      </c>
      <c r="AW12" s="207"/>
      <c r="AX12" s="211"/>
      <c r="AY12" s="208"/>
      <c r="AZ12" s="236"/>
      <c r="BA12" s="237"/>
      <c r="BB12" s="209"/>
      <c r="BC12" s="220"/>
      <c r="BD12" s="220"/>
      <c r="BE12" s="208"/>
      <c r="BF12" s="208"/>
      <c r="BG12" s="221"/>
      <c r="BI12" s="205" t="str">
        <f t="shared" si="4"/>
        <v>Groep B</v>
      </c>
      <c r="BJ12" s="207"/>
      <c r="BK12" s="211"/>
      <c r="BL12" s="208"/>
      <c r="BM12" s="236"/>
      <c r="BN12" s="237"/>
      <c r="BO12" s="209"/>
      <c r="BP12" s="220"/>
      <c r="BQ12" s="220"/>
      <c r="BR12" s="208"/>
      <c r="BS12" s="208"/>
      <c r="BT12" s="221"/>
      <c r="BV12" s="205" t="str">
        <f t="shared" si="5"/>
        <v>Groep B</v>
      </c>
      <c r="BW12" s="207"/>
      <c r="BX12" s="211"/>
      <c r="BY12" s="208"/>
      <c r="BZ12" s="236"/>
      <c r="CA12" s="237"/>
      <c r="CB12" s="209"/>
      <c r="CC12" s="220"/>
      <c r="CD12" s="220"/>
      <c r="CE12" s="208"/>
      <c r="CF12" s="208"/>
      <c r="CG12" s="221"/>
      <c r="CI12" s="205" t="str">
        <f t="shared" si="6"/>
        <v>Groep B</v>
      </c>
      <c r="CJ12" s="207"/>
      <c r="CK12" s="211"/>
      <c r="CL12" s="208"/>
      <c r="CM12" s="236"/>
      <c r="CN12" s="237"/>
      <c r="CO12" s="209"/>
      <c r="CP12" s="220"/>
      <c r="CQ12" s="220"/>
      <c r="CR12" s="208"/>
      <c r="CS12" s="208"/>
      <c r="CT12" s="221"/>
      <c r="CV12" s="205" t="str">
        <f t="shared" si="7"/>
        <v>Groep B</v>
      </c>
      <c r="CW12" s="207"/>
      <c r="CX12" s="211"/>
      <c r="CY12" s="208"/>
      <c r="CZ12" s="236"/>
      <c r="DA12" s="237"/>
      <c r="DB12" s="209"/>
      <c r="DC12" s="220"/>
      <c r="DD12" s="220"/>
      <c r="DE12" s="208"/>
      <c r="DF12" s="208"/>
      <c r="DG12" s="221"/>
      <c r="DI12" s="205" t="str">
        <f t="shared" si="8"/>
        <v>Groep B</v>
      </c>
      <c r="DJ12" s="207"/>
      <c r="DK12" s="211"/>
      <c r="DL12" s="208"/>
      <c r="DM12" s="236"/>
      <c r="DN12" s="237"/>
      <c r="DO12" s="209"/>
      <c r="DP12" s="220"/>
      <c r="DQ12" s="220"/>
      <c r="DR12" s="208"/>
      <c r="DS12" s="208"/>
      <c r="DT12" s="221"/>
      <c r="DV12" s="205" t="str">
        <f t="shared" si="9"/>
        <v>Groep B</v>
      </c>
      <c r="DW12" s="207"/>
      <c r="DX12" s="211"/>
      <c r="DY12" s="208"/>
      <c r="DZ12" s="236"/>
      <c r="EA12" s="237"/>
      <c r="EB12" s="209"/>
      <c r="EC12" s="220"/>
      <c r="ED12" s="220"/>
      <c r="EE12" s="208"/>
      <c r="EF12" s="208"/>
      <c r="EG12" s="221"/>
      <c r="EI12" s="205" t="str">
        <f t="shared" si="10"/>
        <v>Groep B</v>
      </c>
      <c r="EJ12" s="207"/>
      <c r="EK12" s="211"/>
      <c r="EL12" s="208"/>
      <c r="EM12" s="236"/>
      <c r="EN12" s="237"/>
      <c r="EO12" s="209"/>
      <c r="EP12" s="220"/>
      <c r="EQ12" s="220"/>
      <c r="ER12" s="208"/>
      <c r="ES12" s="208"/>
      <c r="ET12" s="221"/>
      <c r="EV12" s="205" t="str">
        <f t="shared" si="11"/>
        <v>Groep B</v>
      </c>
      <c r="EW12" s="207"/>
      <c r="EX12" s="211"/>
      <c r="EY12" s="208"/>
      <c r="EZ12" s="236"/>
      <c r="FA12" s="237"/>
      <c r="FB12" s="209"/>
      <c r="FC12" s="220"/>
      <c r="FD12" s="220"/>
      <c r="FE12" s="208"/>
      <c r="FF12" s="208"/>
      <c r="FG12" s="221"/>
      <c r="FI12" s="205" t="str">
        <f t="shared" si="12"/>
        <v>Groep B</v>
      </c>
      <c r="FJ12" s="207"/>
      <c r="FK12" s="211"/>
      <c r="FL12" s="208"/>
      <c r="FM12" s="236"/>
      <c r="FN12" s="237"/>
      <c r="FO12" s="209"/>
      <c r="FP12" s="220"/>
      <c r="FQ12" s="220"/>
      <c r="FR12" s="208"/>
      <c r="FS12" s="208"/>
      <c r="FT12" s="221"/>
      <c r="FV12" s="205" t="str">
        <f t="shared" si="13"/>
        <v>Groep B</v>
      </c>
      <c r="FW12" s="207"/>
      <c r="FX12" s="211"/>
      <c r="FY12" s="208"/>
      <c r="FZ12" s="236"/>
      <c r="GA12" s="237"/>
      <c r="GB12" s="209"/>
      <c r="GC12" s="220"/>
      <c r="GD12" s="220"/>
      <c r="GE12" s="208"/>
      <c r="GF12" s="208"/>
      <c r="GG12" s="221"/>
      <c r="GI12" s="205" t="str">
        <f t="shared" si="14"/>
        <v>Groep B</v>
      </c>
      <c r="GJ12" s="207"/>
      <c r="GK12" s="211"/>
      <c r="GL12" s="208"/>
      <c r="GM12" s="236"/>
      <c r="GN12" s="237"/>
      <c r="GO12" s="209"/>
      <c r="GP12" s="220"/>
      <c r="GQ12" s="220"/>
      <c r="GR12" s="208"/>
      <c r="GS12" s="208"/>
      <c r="GT12" s="221"/>
      <c r="GV12" s="205" t="str">
        <f t="shared" si="15"/>
        <v>Groep B</v>
      </c>
      <c r="GW12" s="207"/>
      <c r="GX12" s="211"/>
      <c r="GY12" s="208"/>
      <c r="GZ12" s="236"/>
      <c r="HA12" s="237"/>
      <c r="HB12" s="209"/>
      <c r="HC12" s="220"/>
      <c r="HD12" s="220"/>
      <c r="HE12" s="208"/>
      <c r="HF12" s="208"/>
      <c r="HG12" s="221"/>
      <c r="HI12" s="205" t="str">
        <f t="shared" si="16"/>
        <v>Groep B</v>
      </c>
      <c r="HJ12" s="207"/>
      <c r="HK12" s="211"/>
      <c r="HL12" s="208"/>
      <c r="HM12" s="236"/>
      <c r="HN12" s="237"/>
      <c r="HO12" s="209"/>
      <c r="HP12" s="220"/>
      <c r="HQ12" s="220"/>
      <c r="HR12" s="208"/>
      <c r="HS12" s="208"/>
      <c r="HT12" s="221"/>
      <c r="HV12" s="205" t="str">
        <f t="shared" si="17"/>
        <v>Groep B</v>
      </c>
      <c r="HW12" s="207"/>
      <c r="HX12" s="211"/>
      <c r="HY12" s="208"/>
      <c r="HZ12" s="236"/>
      <c r="IA12" s="237"/>
      <c r="IB12" s="209"/>
      <c r="IC12" s="220"/>
      <c r="ID12" s="220"/>
      <c r="IE12" s="208"/>
      <c r="IF12" s="208"/>
      <c r="IG12" s="221"/>
      <c r="II12" s="205" t="str">
        <f t="shared" si="18"/>
        <v>Groep B</v>
      </c>
      <c r="IJ12" s="207"/>
      <c r="IK12" s="211"/>
      <c r="IL12" s="208"/>
      <c r="IM12" s="236"/>
      <c r="IN12" s="237"/>
      <c r="IO12" s="209"/>
      <c r="IP12" s="220"/>
      <c r="IQ12" s="220"/>
      <c r="IR12" s="208"/>
      <c r="IS12" s="208"/>
      <c r="IT12" s="221"/>
      <c r="IV12" s="205" t="str">
        <f t="shared" si="19"/>
        <v>Groep B</v>
      </c>
      <c r="IW12" s="207"/>
      <c r="IX12" s="211"/>
      <c r="IY12" s="208"/>
      <c r="IZ12" s="236"/>
      <c r="JA12" s="237"/>
      <c r="JB12" s="209"/>
      <c r="JC12" s="220"/>
      <c r="JD12" s="220"/>
      <c r="JE12" s="208"/>
      <c r="JF12" s="208"/>
      <c r="JG12" s="221"/>
      <c r="JI12" s="205" t="str">
        <f t="shared" si="20"/>
        <v>Groep B</v>
      </c>
      <c r="JJ12" s="207"/>
      <c r="JK12" s="211"/>
      <c r="JL12" s="208"/>
      <c r="JM12" s="236"/>
      <c r="JN12" s="237"/>
      <c r="JO12" s="209"/>
      <c r="JP12" s="220"/>
      <c r="JQ12" s="220"/>
      <c r="JR12" s="208"/>
      <c r="JS12" s="208"/>
      <c r="JT12" s="221"/>
      <c r="JV12" s="205" t="str">
        <f t="shared" si="21"/>
        <v>Groep B</v>
      </c>
      <c r="JW12" s="207"/>
      <c r="JX12" s="211"/>
      <c r="JY12" s="208"/>
      <c r="JZ12" s="236"/>
      <c r="KA12" s="237"/>
      <c r="KB12" s="209"/>
      <c r="KC12" s="220"/>
      <c r="KD12" s="220"/>
      <c r="KE12" s="208"/>
      <c r="KF12" s="208"/>
      <c r="KG12" s="221"/>
      <c r="KI12" s="205" t="str">
        <f t="shared" si="22"/>
        <v>Groep B</v>
      </c>
      <c r="KJ12" s="207"/>
      <c r="KK12" s="211"/>
      <c r="KL12" s="208"/>
      <c r="KM12" s="236"/>
      <c r="KN12" s="237"/>
      <c r="KO12" s="209"/>
      <c r="KP12" s="220"/>
      <c r="KQ12" s="220"/>
      <c r="KR12" s="208"/>
      <c r="KS12" s="208"/>
      <c r="KT12" s="221"/>
      <c r="KV12" s="205" t="str">
        <f t="shared" si="23"/>
        <v>Groep B</v>
      </c>
      <c r="KW12" s="207"/>
      <c r="KX12" s="211"/>
      <c r="KY12" s="208"/>
      <c r="KZ12" s="236"/>
      <c r="LA12" s="237"/>
      <c r="LB12" s="209"/>
      <c r="LC12" s="220"/>
      <c r="LD12" s="220"/>
      <c r="LE12" s="208"/>
      <c r="LF12" s="208"/>
      <c r="LG12" s="221"/>
      <c r="LI12" s="205" t="str">
        <f t="shared" si="24"/>
        <v>Groep B</v>
      </c>
      <c r="LJ12" s="207"/>
      <c r="LK12" s="211"/>
      <c r="LL12" s="208"/>
      <c r="LM12" s="236"/>
      <c r="LN12" s="237"/>
      <c r="LO12" s="209"/>
      <c r="LP12" s="220"/>
      <c r="LQ12" s="220"/>
      <c r="LR12" s="208"/>
      <c r="LS12" s="208"/>
      <c r="LT12" s="221"/>
      <c r="LV12" s="205" t="str">
        <f t="shared" si="25"/>
        <v>Groep B</v>
      </c>
      <c r="LW12" s="207"/>
      <c r="LX12" s="211"/>
      <c r="LY12" s="208"/>
      <c r="LZ12" s="236"/>
      <c r="MA12" s="237"/>
      <c r="MB12" s="209"/>
      <c r="MC12" s="220"/>
      <c r="MD12" s="220"/>
      <c r="ME12" s="208"/>
      <c r="MF12" s="208"/>
      <c r="MG12" s="221"/>
    </row>
    <row r="13" spans="1:345">
      <c r="B13" s="196">
        <f>INDEX(Groups!$C$7:$C$65,MATCH(C13,Groups!$D$7:$D$65,0))</f>
        <v>30</v>
      </c>
      <c r="C13" s="197" t="str">
        <f>CalcB!$P$22</f>
        <v>Canada</v>
      </c>
      <c r="D13" s="198">
        <f>INDEX(Groups!$C$7:$C$65,MATCH(E13,Groups!$D$7:$D$65,0))</f>
        <v>65</v>
      </c>
      <c r="E13" s="197" t="str">
        <f>CalcB!$Q$22</f>
        <v>Bosnië/Herzeg.</v>
      </c>
      <c r="F13" s="199" t="str">
        <f>CalcB!$R$22</f>
        <v/>
      </c>
      <c r="G13" s="200" t="str">
        <f>CalcB!$S$22</f>
        <v/>
      </c>
      <c r="I13" s="196">
        <f t="shared" si="0"/>
        <v>30</v>
      </c>
      <c r="J13" s="197" t="str">
        <f t="shared" ref="J13:J18" si="156">$C13</f>
        <v>Canada</v>
      </c>
      <c r="K13" s="198">
        <f t="shared" si="26"/>
        <v>65</v>
      </c>
      <c r="L13" s="197" t="str">
        <f t="shared" ref="L13:L18" si="157">$E13</f>
        <v>Bosnië/Herzeg.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Bosnië/Herzeg.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Bosnië/Herzeg.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Bosnië/Herzeg.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Bosnië/Herzeg.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Bosnië/Herzeg.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Bosnië/Herzeg.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Bosnië/Herzeg.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Bosnië/Herzeg.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Bosnië/Herzeg.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Bosnië/Herzeg.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Bosnië/Herzeg.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Bosnië/Herzeg.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Bosnië/Herzeg.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Bosnië/Herzeg.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Bosnië/Herzeg.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Bosnië/Herzeg.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Bosnië/Herzeg.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Bosnië/Herzeg.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Bosnië/Herzeg.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Bosnië/Herzeg.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Bosnië/Herzeg.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Bosnië/Herzeg.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Bosnië/Herzeg.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Bosnië/Herzeg.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Bosnië/Herzeg.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c r="B14" s="196">
        <f>INDEX(Groups!$C$7:$C$65,MATCH(C14,Groups!$D$7:$D$65,0))</f>
        <v>55</v>
      </c>
      <c r="C14" s="197" t="str">
        <f>CalcB!$P$23</f>
        <v>Qatar</v>
      </c>
      <c r="D14" s="198">
        <f>INDEX(Groups!$C$7:$C$65,MATCH(E14,Groups!$D$7:$D$65,0))</f>
        <v>19</v>
      </c>
      <c r="E14" s="197" t="str">
        <f>CalcB!$Q$23</f>
        <v>Zwitserland</v>
      </c>
      <c r="F14" s="725" t="str">
        <f>CalcB!$R$23</f>
        <v/>
      </c>
      <c r="G14" s="200" t="str">
        <f>CalcB!$S$23</f>
        <v/>
      </c>
      <c r="I14" s="196">
        <f t="shared" si="0"/>
        <v>55</v>
      </c>
      <c r="J14" s="197" t="str">
        <f t="shared" si="156"/>
        <v>Qatar</v>
      </c>
      <c r="K14" s="198">
        <f t="shared" si="26"/>
        <v>19</v>
      </c>
      <c r="L14" s="197" t="str">
        <f t="shared" si="157"/>
        <v>Zwitserland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Zwitserland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Zwitserland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Zwitserland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Zwitserland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Zwitserland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Zwitserland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Zwitserland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Zwitserland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Zwitserland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Zwitserland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Zwitserland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Zwitserland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Zwitserland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Zwitserland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Zwitserland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Zwitserland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Zwitserland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Zwitserland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Zwitserland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Zwitserland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Zwitserland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Zwitserland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Zwitserland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Zwitserland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Zwitserland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c r="B15" s="196">
        <f>INDEX(Groups!$C$7:$C$65,MATCH(C15,Groups!$D$7:$D$65,0))</f>
        <v>19</v>
      </c>
      <c r="C15" s="197" t="str">
        <f>CalcB!$P$24</f>
        <v>Zwitserland</v>
      </c>
      <c r="D15" s="198">
        <f>INDEX(Groups!$C$7:$C$65,MATCH(E15,Groups!$D$7:$D$65,0))</f>
        <v>65</v>
      </c>
      <c r="E15" s="197" t="str">
        <f>CalcB!$Q$24</f>
        <v>Bosnië/Herzeg.</v>
      </c>
      <c r="F15" s="199" t="str">
        <f>CalcB!$R$24</f>
        <v/>
      </c>
      <c r="G15" s="200" t="str">
        <f>CalcB!$S$24</f>
        <v/>
      </c>
      <c r="I15" s="196">
        <f t="shared" si="0"/>
        <v>19</v>
      </c>
      <c r="J15" s="197" t="str">
        <f t="shared" si="156"/>
        <v>Zwitserland</v>
      </c>
      <c r="K15" s="198">
        <f t="shared" si="26"/>
        <v>65</v>
      </c>
      <c r="L15" s="197" t="str">
        <f t="shared" si="157"/>
        <v>Bosnië/Herzeg.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Zwitserland</v>
      </c>
      <c r="X15" s="198">
        <f t="shared" si="29"/>
        <v>65</v>
      </c>
      <c r="Y15" s="197" t="str">
        <f t="shared" si="161"/>
        <v>Bosnië/Herzeg.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Zwitserland</v>
      </c>
      <c r="AK15" s="198">
        <f t="shared" si="32"/>
        <v>65</v>
      </c>
      <c r="AL15" s="197" t="str">
        <f t="shared" si="165"/>
        <v>Bosnië/Herzeg.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Zwitserland</v>
      </c>
      <c r="AX15" s="198">
        <f t="shared" si="35"/>
        <v>65</v>
      </c>
      <c r="AY15" s="197" t="str">
        <f t="shared" si="169"/>
        <v>Bosnië/Herzeg.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Zwitserland</v>
      </c>
      <c r="BK15" s="198">
        <f t="shared" si="38"/>
        <v>65</v>
      </c>
      <c r="BL15" s="197" t="str">
        <f t="shared" si="173"/>
        <v>Bosnië/Herzeg.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Zwitserland</v>
      </c>
      <c r="BX15" s="198">
        <f t="shared" si="41"/>
        <v>65</v>
      </c>
      <c r="BY15" s="197" t="str">
        <f t="shared" si="177"/>
        <v>Bosnië/Herzeg.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Zwitserland</v>
      </c>
      <c r="CK15" s="198">
        <f t="shared" si="44"/>
        <v>65</v>
      </c>
      <c r="CL15" s="197" t="str">
        <f t="shared" si="181"/>
        <v>Bosnië/Herzeg.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Zwitserland</v>
      </c>
      <c r="CX15" s="198">
        <f t="shared" si="47"/>
        <v>65</v>
      </c>
      <c r="CY15" s="197" t="str">
        <f t="shared" si="185"/>
        <v>Bosnië/Herzeg.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Zwitserland</v>
      </c>
      <c r="DK15" s="198">
        <f t="shared" si="50"/>
        <v>65</v>
      </c>
      <c r="DL15" s="197" t="str">
        <f t="shared" si="189"/>
        <v>Bosnië/Herzeg.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Zwitserland</v>
      </c>
      <c r="DX15" s="198">
        <f t="shared" si="53"/>
        <v>65</v>
      </c>
      <c r="DY15" s="197" t="str">
        <f t="shared" si="193"/>
        <v>Bosnië/Herzeg.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Zwitserland</v>
      </c>
      <c r="EK15" s="198">
        <f t="shared" si="56"/>
        <v>65</v>
      </c>
      <c r="EL15" s="197" t="str">
        <f t="shared" si="197"/>
        <v>Bosnië/Herzeg.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Zwitserland</v>
      </c>
      <c r="EX15" s="198">
        <f t="shared" si="59"/>
        <v>65</v>
      </c>
      <c r="EY15" s="197" t="str">
        <f t="shared" si="201"/>
        <v>Bosnië/Herzeg.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Zwitserland</v>
      </c>
      <c r="FK15" s="198">
        <f t="shared" si="62"/>
        <v>65</v>
      </c>
      <c r="FL15" s="197" t="str">
        <f t="shared" si="205"/>
        <v>Bosnië/Herzeg.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Zwitserland</v>
      </c>
      <c r="FX15" s="198">
        <f t="shared" si="65"/>
        <v>65</v>
      </c>
      <c r="FY15" s="197" t="str">
        <f t="shared" si="209"/>
        <v>Bosnië/Herzeg.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Zwitserland</v>
      </c>
      <c r="GK15" s="198">
        <f t="shared" si="68"/>
        <v>65</v>
      </c>
      <c r="GL15" s="197" t="str">
        <f t="shared" si="213"/>
        <v>Bosnië/Herzeg.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Zwitserland</v>
      </c>
      <c r="GX15" s="198">
        <f t="shared" si="71"/>
        <v>65</v>
      </c>
      <c r="GY15" s="197" t="str">
        <f t="shared" si="217"/>
        <v>Bosnië/Herzeg.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Zwitserland</v>
      </c>
      <c r="HK15" s="198">
        <f t="shared" si="74"/>
        <v>65</v>
      </c>
      <c r="HL15" s="197" t="str">
        <f t="shared" si="221"/>
        <v>Bosnië/Herzeg.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Zwitserland</v>
      </c>
      <c r="HX15" s="198">
        <f t="shared" si="77"/>
        <v>65</v>
      </c>
      <c r="HY15" s="197" t="str">
        <f t="shared" si="225"/>
        <v>Bosnië/Herzeg.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Zwitserland</v>
      </c>
      <c r="IK15" s="198">
        <f t="shared" si="80"/>
        <v>65</v>
      </c>
      <c r="IL15" s="197" t="str">
        <f t="shared" si="229"/>
        <v>Bosnië/Herzeg.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Zwitserland</v>
      </c>
      <c r="IX15" s="198">
        <f t="shared" si="83"/>
        <v>65</v>
      </c>
      <c r="IY15" s="197" t="str">
        <f t="shared" si="233"/>
        <v>Bosnië/Herzeg.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Zwitserland</v>
      </c>
      <c r="JK15" s="198">
        <f t="shared" si="86"/>
        <v>65</v>
      </c>
      <c r="JL15" s="197" t="str">
        <f t="shared" si="237"/>
        <v>Bosnië/Herzeg.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Zwitserland</v>
      </c>
      <c r="JX15" s="198">
        <f t="shared" si="89"/>
        <v>65</v>
      </c>
      <c r="JY15" s="197" t="str">
        <f t="shared" si="241"/>
        <v>Bosnië/Herzeg.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Zwitserland</v>
      </c>
      <c r="KK15" s="198">
        <f t="shared" si="92"/>
        <v>65</v>
      </c>
      <c r="KL15" s="197" t="str">
        <f t="shared" si="245"/>
        <v>Bosnië/Herzeg.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Zwitserland</v>
      </c>
      <c r="KX15" s="198">
        <f t="shared" si="95"/>
        <v>65</v>
      </c>
      <c r="KY15" s="197" t="str">
        <f t="shared" si="249"/>
        <v>Bosnië/Herzeg.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Zwitserland</v>
      </c>
      <c r="LK15" s="198">
        <f t="shared" si="98"/>
        <v>65</v>
      </c>
      <c r="LL15" s="197" t="str">
        <f t="shared" si="253"/>
        <v>Bosnië/Herzeg.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Zwitserland</v>
      </c>
      <c r="LX15" s="198">
        <f t="shared" si="101"/>
        <v>65</v>
      </c>
      <c r="LY15" s="197" t="str">
        <f t="shared" si="257"/>
        <v>Bosnië/Herzeg.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c r="B17" s="196">
        <f>INDEX(Groups!$C$7:$C$65,MATCH(C17,Groups!$D$7:$D$65,0))</f>
        <v>19</v>
      </c>
      <c r="C17" s="197" t="str">
        <f>CalcB!$P$26</f>
        <v>Zwitserland</v>
      </c>
      <c r="D17" s="198">
        <f>INDEX(Groups!$C$7:$C$65,MATCH(E17,Groups!$D$7:$D$65,0))</f>
        <v>30</v>
      </c>
      <c r="E17" s="197" t="str">
        <f>CalcB!$Q$26</f>
        <v>Canada</v>
      </c>
      <c r="F17" s="199" t="str">
        <f>CalcB!$R$26</f>
        <v/>
      </c>
      <c r="G17" s="200" t="str">
        <f>CalcB!$S$26</f>
        <v/>
      </c>
      <c r="I17" s="196">
        <f t="shared" si="0"/>
        <v>19</v>
      </c>
      <c r="J17" s="197" t="str">
        <f t="shared" si="156"/>
        <v>Zwitserland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Zwitserland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Zwitserland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Zwitserland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Zwitserland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Zwitserland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Zwitserland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Zwitserland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Zwitserland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Zwitserland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Zwitserland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Zwitserland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Zwitserland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Zwitserland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Zwitserland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Zwitserland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Zwitserland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Zwitserland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Zwitserland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Zwitserland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Zwitserland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Zwitserland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Zwitserland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Zwitserland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Zwitserland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Zwitserland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c r="B18" s="196">
        <f>INDEX(Groups!$C$7:$C$65,MATCH(C18,Groups!$D$7:$D$65,0))</f>
        <v>65</v>
      </c>
      <c r="C18" s="197" t="str">
        <f>CalcB!$P$27</f>
        <v>Bosnië/Herzeg.</v>
      </c>
      <c r="D18" s="198">
        <f>INDEX(Groups!$C$7:$C$65,MATCH(E18,Groups!$D$7:$D$65,0))</f>
        <v>55</v>
      </c>
      <c r="E18" s="197" t="str">
        <f>CalcB!$Q$27</f>
        <v>Qatar</v>
      </c>
      <c r="F18" s="199" t="str">
        <f>CalcB!$R$27</f>
        <v/>
      </c>
      <c r="G18" s="200" t="str">
        <f>CalcB!$S$27</f>
        <v/>
      </c>
      <c r="I18" s="196">
        <f t="shared" si="0"/>
        <v>65</v>
      </c>
      <c r="J18" s="197" t="str">
        <f t="shared" si="156"/>
        <v>Bosnië/Herzeg.</v>
      </c>
      <c r="K18" s="198">
        <f t="shared" si="26"/>
        <v>55</v>
      </c>
      <c r="L18" s="197" t="str">
        <f t="shared" si="157"/>
        <v>Qatar</v>
      </c>
      <c r="M18" s="232"/>
      <c r="N18" s="232"/>
      <c r="O18" s="473"/>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4"/>
      <c r="V18" s="196">
        <f t="shared" si="1"/>
        <v>65</v>
      </c>
      <c r="W18" s="197" t="str">
        <f t="shared" si="160"/>
        <v>Bosnië/Herzeg.</v>
      </c>
      <c r="X18" s="198">
        <f t="shared" si="29"/>
        <v>55</v>
      </c>
      <c r="Y18" s="197" t="str">
        <f t="shared" si="161"/>
        <v>Qatar</v>
      </c>
      <c r="Z18" s="232"/>
      <c r="AA18" s="232"/>
      <c r="AB18" s="473"/>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4"/>
      <c r="AI18" s="196">
        <f t="shared" si="2"/>
        <v>65</v>
      </c>
      <c r="AJ18" s="197" t="str">
        <f t="shared" si="164"/>
        <v>Bosnië/Herzeg.</v>
      </c>
      <c r="AK18" s="198">
        <f t="shared" si="32"/>
        <v>55</v>
      </c>
      <c r="AL18" s="197" t="str">
        <f t="shared" si="165"/>
        <v>Qatar</v>
      </c>
      <c r="AM18" s="232"/>
      <c r="AN18" s="232"/>
      <c r="AO18" s="473"/>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4"/>
      <c r="AV18" s="196">
        <f t="shared" si="3"/>
        <v>65</v>
      </c>
      <c r="AW18" s="197" t="str">
        <f t="shared" si="168"/>
        <v>Bosnië/Herzeg.</v>
      </c>
      <c r="AX18" s="198">
        <f t="shared" si="35"/>
        <v>55</v>
      </c>
      <c r="AY18" s="197" t="str">
        <f t="shared" si="169"/>
        <v>Qatar</v>
      </c>
      <c r="AZ18" s="232"/>
      <c r="BA18" s="232"/>
      <c r="BB18" s="473"/>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4"/>
      <c r="BI18" s="196">
        <f t="shared" si="4"/>
        <v>65</v>
      </c>
      <c r="BJ18" s="197" t="str">
        <f t="shared" si="172"/>
        <v>Bosnië/Herzeg.</v>
      </c>
      <c r="BK18" s="198">
        <f t="shared" si="38"/>
        <v>55</v>
      </c>
      <c r="BL18" s="197" t="str">
        <f t="shared" si="173"/>
        <v>Qatar</v>
      </c>
      <c r="BM18" s="232"/>
      <c r="BN18" s="232"/>
      <c r="BO18" s="473"/>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4"/>
      <c r="BV18" s="196">
        <f t="shared" si="5"/>
        <v>65</v>
      </c>
      <c r="BW18" s="197" t="str">
        <f t="shared" si="176"/>
        <v>Bosnië/Herzeg.</v>
      </c>
      <c r="BX18" s="198">
        <f t="shared" si="41"/>
        <v>55</v>
      </c>
      <c r="BY18" s="197" t="str">
        <f t="shared" si="177"/>
        <v>Qatar</v>
      </c>
      <c r="BZ18" s="232"/>
      <c r="CA18" s="232"/>
      <c r="CB18" s="473"/>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4"/>
      <c r="CI18" s="196">
        <f t="shared" si="6"/>
        <v>65</v>
      </c>
      <c r="CJ18" s="197" t="str">
        <f t="shared" si="180"/>
        <v>Bosnië/Herzeg.</v>
      </c>
      <c r="CK18" s="198">
        <f t="shared" si="44"/>
        <v>55</v>
      </c>
      <c r="CL18" s="197" t="str">
        <f t="shared" si="181"/>
        <v>Qatar</v>
      </c>
      <c r="CM18" s="232"/>
      <c r="CN18" s="232"/>
      <c r="CO18" s="473"/>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4"/>
      <c r="CV18" s="196">
        <f t="shared" si="7"/>
        <v>65</v>
      </c>
      <c r="CW18" s="197" t="str">
        <f t="shared" si="184"/>
        <v>Bosnië/Herzeg.</v>
      </c>
      <c r="CX18" s="198">
        <f t="shared" si="47"/>
        <v>55</v>
      </c>
      <c r="CY18" s="197" t="str">
        <f t="shared" si="185"/>
        <v>Qatar</v>
      </c>
      <c r="CZ18" s="232"/>
      <c r="DA18" s="232"/>
      <c r="DB18" s="473"/>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4"/>
      <c r="DI18" s="196">
        <f t="shared" si="8"/>
        <v>65</v>
      </c>
      <c r="DJ18" s="197" t="str">
        <f t="shared" si="188"/>
        <v>Bosnië/Herzeg.</v>
      </c>
      <c r="DK18" s="198">
        <f t="shared" si="50"/>
        <v>55</v>
      </c>
      <c r="DL18" s="197" t="str">
        <f t="shared" si="189"/>
        <v>Qatar</v>
      </c>
      <c r="DM18" s="232"/>
      <c r="DN18" s="232"/>
      <c r="DO18" s="473"/>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4"/>
      <c r="DV18" s="196">
        <f t="shared" si="9"/>
        <v>65</v>
      </c>
      <c r="DW18" s="197" t="str">
        <f t="shared" si="192"/>
        <v>Bosnië/Herzeg.</v>
      </c>
      <c r="DX18" s="198">
        <f t="shared" si="53"/>
        <v>55</v>
      </c>
      <c r="DY18" s="197" t="str">
        <f t="shared" si="193"/>
        <v>Qatar</v>
      </c>
      <c r="DZ18" s="232"/>
      <c r="EA18" s="232"/>
      <c r="EB18" s="473"/>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4"/>
      <c r="EI18" s="196">
        <f t="shared" si="10"/>
        <v>65</v>
      </c>
      <c r="EJ18" s="197" t="str">
        <f t="shared" si="196"/>
        <v>Bosnië/Herzeg.</v>
      </c>
      <c r="EK18" s="198">
        <f t="shared" si="56"/>
        <v>55</v>
      </c>
      <c r="EL18" s="197" t="str">
        <f t="shared" si="197"/>
        <v>Qatar</v>
      </c>
      <c r="EM18" s="232"/>
      <c r="EN18" s="232"/>
      <c r="EO18" s="473"/>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4"/>
      <c r="EV18" s="196">
        <f t="shared" si="11"/>
        <v>65</v>
      </c>
      <c r="EW18" s="197" t="str">
        <f t="shared" si="200"/>
        <v>Bosnië/Herzeg.</v>
      </c>
      <c r="EX18" s="198">
        <f t="shared" si="59"/>
        <v>55</v>
      </c>
      <c r="EY18" s="197" t="str">
        <f t="shared" si="201"/>
        <v>Qatar</v>
      </c>
      <c r="EZ18" s="232"/>
      <c r="FA18" s="232"/>
      <c r="FB18" s="473"/>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4"/>
      <c r="FI18" s="196">
        <f t="shared" si="12"/>
        <v>65</v>
      </c>
      <c r="FJ18" s="197" t="str">
        <f t="shared" si="204"/>
        <v>Bosnië/Herzeg.</v>
      </c>
      <c r="FK18" s="198">
        <f t="shared" si="62"/>
        <v>55</v>
      </c>
      <c r="FL18" s="197" t="str">
        <f t="shared" si="205"/>
        <v>Qatar</v>
      </c>
      <c r="FM18" s="232"/>
      <c r="FN18" s="232"/>
      <c r="FO18" s="473"/>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4"/>
      <c r="FV18" s="196">
        <f t="shared" si="13"/>
        <v>65</v>
      </c>
      <c r="FW18" s="197" t="str">
        <f t="shared" si="208"/>
        <v>Bosnië/Herzeg.</v>
      </c>
      <c r="FX18" s="198">
        <f t="shared" si="65"/>
        <v>55</v>
      </c>
      <c r="FY18" s="197" t="str">
        <f t="shared" si="209"/>
        <v>Qatar</v>
      </c>
      <c r="FZ18" s="232"/>
      <c r="GA18" s="232"/>
      <c r="GB18" s="473"/>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4"/>
      <c r="GI18" s="196">
        <f t="shared" si="14"/>
        <v>65</v>
      </c>
      <c r="GJ18" s="197" t="str">
        <f t="shared" si="212"/>
        <v>Bosnië/Herzeg.</v>
      </c>
      <c r="GK18" s="198">
        <f t="shared" si="68"/>
        <v>55</v>
      </c>
      <c r="GL18" s="197" t="str">
        <f t="shared" si="213"/>
        <v>Qatar</v>
      </c>
      <c r="GM18" s="232"/>
      <c r="GN18" s="232"/>
      <c r="GO18" s="473"/>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4"/>
      <c r="GV18" s="196">
        <f t="shared" si="15"/>
        <v>65</v>
      </c>
      <c r="GW18" s="197" t="str">
        <f t="shared" si="216"/>
        <v>Bosnië/Herzeg.</v>
      </c>
      <c r="GX18" s="198">
        <f t="shared" si="71"/>
        <v>55</v>
      </c>
      <c r="GY18" s="197" t="str">
        <f t="shared" si="217"/>
        <v>Qatar</v>
      </c>
      <c r="GZ18" s="232"/>
      <c r="HA18" s="232"/>
      <c r="HB18" s="473"/>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4"/>
      <c r="HI18" s="196">
        <f t="shared" si="16"/>
        <v>65</v>
      </c>
      <c r="HJ18" s="197" t="str">
        <f t="shared" si="220"/>
        <v>Bosnië/Herzeg.</v>
      </c>
      <c r="HK18" s="198">
        <f t="shared" si="74"/>
        <v>55</v>
      </c>
      <c r="HL18" s="197" t="str">
        <f t="shared" si="221"/>
        <v>Qatar</v>
      </c>
      <c r="HM18" s="232"/>
      <c r="HN18" s="232"/>
      <c r="HO18" s="473"/>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4"/>
      <c r="HV18" s="196">
        <f t="shared" si="17"/>
        <v>65</v>
      </c>
      <c r="HW18" s="197" t="str">
        <f t="shared" si="224"/>
        <v>Bosnië/Herzeg.</v>
      </c>
      <c r="HX18" s="198">
        <f t="shared" si="77"/>
        <v>55</v>
      </c>
      <c r="HY18" s="197" t="str">
        <f t="shared" si="225"/>
        <v>Qatar</v>
      </c>
      <c r="HZ18" s="232"/>
      <c r="IA18" s="232"/>
      <c r="IB18" s="473"/>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4"/>
      <c r="II18" s="196">
        <f t="shared" si="18"/>
        <v>65</v>
      </c>
      <c r="IJ18" s="197" t="str">
        <f t="shared" si="228"/>
        <v>Bosnië/Herzeg.</v>
      </c>
      <c r="IK18" s="198">
        <f t="shared" si="80"/>
        <v>55</v>
      </c>
      <c r="IL18" s="197" t="str">
        <f t="shared" si="229"/>
        <v>Qatar</v>
      </c>
      <c r="IM18" s="232"/>
      <c r="IN18" s="232"/>
      <c r="IO18" s="473"/>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4"/>
      <c r="IV18" s="196">
        <f t="shared" si="19"/>
        <v>65</v>
      </c>
      <c r="IW18" s="197" t="str">
        <f t="shared" si="232"/>
        <v>Bosnië/Herzeg.</v>
      </c>
      <c r="IX18" s="198">
        <f t="shared" si="83"/>
        <v>55</v>
      </c>
      <c r="IY18" s="197" t="str">
        <f t="shared" si="233"/>
        <v>Qatar</v>
      </c>
      <c r="IZ18" s="232"/>
      <c r="JA18" s="232"/>
      <c r="JB18" s="473"/>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4"/>
      <c r="JI18" s="196">
        <f t="shared" si="20"/>
        <v>65</v>
      </c>
      <c r="JJ18" s="197" t="str">
        <f t="shared" si="236"/>
        <v>Bosnië/Herzeg.</v>
      </c>
      <c r="JK18" s="198">
        <f t="shared" si="86"/>
        <v>55</v>
      </c>
      <c r="JL18" s="197" t="str">
        <f t="shared" si="237"/>
        <v>Qatar</v>
      </c>
      <c r="JM18" s="232"/>
      <c r="JN18" s="232"/>
      <c r="JO18" s="473"/>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4"/>
      <c r="JV18" s="196">
        <f t="shared" si="21"/>
        <v>65</v>
      </c>
      <c r="JW18" s="197" t="str">
        <f t="shared" si="240"/>
        <v>Bosnië/Herzeg.</v>
      </c>
      <c r="JX18" s="198">
        <f t="shared" si="89"/>
        <v>55</v>
      </c>
      <c r="JY18" s="197" t="str">
        <f t="shared" si="241"/>
        <v>Qatar</v>
      </c>
      <c r="JZ18" s="232"/>
      <c r="KA18" s="232"/>
      <c r="KB18" s="473"/>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4"/>
      <c r="KI18" s="196">
        <f t="shared" si="22"/>
        <v>65</v>
      </c>
      <c r="KJ18" s="197" t="str">
        <f t="shared" si="244"/>
        <v>Bosnië/Herzeg.</v>
      </c>
      <c r="KK18" s="198">
        <f t="shared" si="92"/>
        <v>55</v>
      </c>
      <c r="KL18" s="197" t="str">
        <f t="shared" si="245"/>
        <v>Qatar</v>
      </c>
      <c r="KM18" s="232"/>
      <c r="KN18" s="232"/>
      <c r="KO18" s="473"/>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4"/>
      <c r="KV18" s="196">
        <f t="shared" si="23"/>
        <v>65</v>
      </c>
      <c r="KW18" s="197" t="str">
        <f t="shared" si="248"/>
        <v>Bosnië/Herzeg.</v>
      </c>
      <c r="KX18" s="198">
        <f t="shared" si="95"/>
        <v>55</v>
      </c>
      <c r="KY18" s="197" t="str">
        <f t="shared" si="249"/>
        <v>Qatar</v>
      </c>
      <c r="KZ18" s="232"/>
      <c r="LA18" s="232"/>
      <c r="LB18" s="473"/>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4"/>
      <c r="LI18" s="196">
        <f t="shared" si="24"/>
        <v>65</v>
      </c>
      <c r="LJ18" s="197" t="str">
        <f t="shared" si="252"/>
        <v>Bosnië/Herzeg.</v>
      </c>
      <c r="LK18" s="198">
        <f t="shared" si="98"/>
        <v>55</v>
      </c>
      <c r="LL18" s="197" t="str">
        <f t="shared" si="253"/>
        <v>Qatar</v>
      </c>
      <c r="LM18" s="232"/>
      <c r="LN18" s="232"/>
      <c r="LO18" s="473"/>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4"/>
      <c r="LV18" s="196">
        <f t="shared" si="25"/>
        <v>65</v>
      </c>
      <c r="LW18" s="197" t="str">
        <f t="shared" si="256"/>
        <v>Bosnië/Herzeg.</v>
      </c>
      <c r="LX18" s="198">
        <f t="shared" si="101"/>
        <v>55</v>
      </c>
      <c r="LY18" s="197" t="str">
        <f t="shared" si="257"/>
        <v>Qatar</v>
      </c>
      <c r="LZ18" s="232"/>
      <c r="MA18" s="232"/>
      <c r="MB18" s="473"/>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4"/>
    </row>
    <row r="19" spans="2:345" ht="24" customHeight="1">
      <c r="B19" s="205" t="str">
        <f>Language!$E$130&amp;" C"</f>
        <v>Groep C</v>
      </c>
      <c r="C19" s="206"/>
      <c r="D19" s="211"/>
      <c r="E19" s="208"/>
      <c r="F19" s="212"/>
      <c r="G19" s="213"/>
      <c r="I19" s="205" t="str">
        <f t="shared" si="0"/>
        <v>Groep C</v>
      </c>
      <c r="J19" s="207"/>
      <c r="K19" s="211"/>
      <c r="L19" s="208"/>
      <c r="M19" s="236"/>
      <c r="N19" s="237"/>
      <c r="O19" s="209"/>
      <c r="P19" s="220"/>
      <c r="Q19" s="220"/>
      <c r="R19" s="208"/>
      <c r="S19" s="208"/>
      <c r="T19" s="221"/>
      <c r="V19" s="205" t="str">
        <f t="shared" si="1"/>
        <v>Groep C</v>
      </c>
      <c r="W19" s="207"/>
      <c r="X19" s="211"/>
      <c r="Y19" s="208"/>
      <c r="Z19" s="236"/>
      <c r="AA19" s="237"/>
      <c r="AB19" s="209"/>
      <c r="AC19" s="220"/>
      <c r="AD19" s="220"/>
      <c r="AE19" s="208"/>
      <c r="AF19" s="208"/>
      <c r="AG19" s="221"/>
      <c r="AI19" s="205" t="str">
        <f t="shared" si="2"/>
        <v>Groep C</v>
      </c>
      <c r="AJ19" s="207"/>
      <c r="AK19" s="211"/>
      <c r="AL19" s="208"/>
      <c r="AM19" s="236"/>
      <c r="AN19" s="237"/>
      <c r="AO19" s="209"/>
      <c r="AP19" s="220"/>
      <c r="AQ19" s="220"/>
      <c r="AR19" s="208"/>
      <c r="AS19" s="208"/>
      <c r="AT19" s="221"/>
      <c r="AV19" s="205" t="str">
        <f t="shared" si="3"/>
        <v>Groep C</v>
      </c>
      <c r="AW19" s="207"/>
      <c r="AX19" s="211"/>
      <c r="AY19" s="208"/>
      <c r="AZ19" s="236"/>
      <c r="BA19" s="237"/>
      <c r="BB19" s="209"/>
      <c r="BC19" s="220"/>
      <c r="BD19" s="220"/>
      <c r="BE19" s="208"/>
      <c r="BF19" s="208"/>
      <c r="BG19" s="221"/>
      <c r="BI19" s="205" t="str">
        <f t="shared" si="4"/>
        <v>Groep C</v>
      </c>
      <c r="BJ19" s="207"/>
      <c r="BK19" s="211"/>
      <c r="BL19" s="208"/>
      <c r="BM19" s="236"/>
      <c r="BN19" s="237"/>
      <c r="BO19" s="209"/>
      <c r="BP19" s="220"/>
      <c r="BQ19" s="220"/>
      <c r="BR19" s="208"/>
      <c r="BS19" s="208"/>
      <c r="BT19" s="221"/>
      <c r="BV19" s="205" t="str">
        <f t="shared" si="5"/>
        <v>Groep C</v>
      </c>
      <c r="BW19" s="207"/>
      <c r="BX19" s="211"/>
      <c r="BY19" s="208"/>
      <c r="BZ19" s="236"/>
      <c r="CA19" s="237"/>
      <c r="CB19" s="209"/>
      <c r="CC19" s="220"/>
      <c r="CD19" s="220"/>
      <c r="CE19" s="208"/>
      <c r="CF19" s="208"/>
      <c r="CG19" s="221"/>
      <c r="CI19" s="205" t="str">
        <f t="shared" si="6"/>
        <v>Groep C</v>
      </c>
      <c r="CJ19" s="207"/>
      <c r="CK19" s="211"/>
      <c r="CL19" s="208"/>
      <c r="CM19" s="236"/>
      <c r="CN19" s="237"/>
      <c r="CO19" s="209"/>
      <c r="CP19" s="220"/>
      <c r="CQ19" s="220"/>
      <c r="CR19" s="208"/>
      <c r="CS19" s="208"/>
      <c r="CT19" s="221"/>
      <c r="CV19" s="205" t="str">
        <f t="shared" si="7"/>
        <v>Groep C</v>
      </c>
      <c r="CW19" s="207"/>
      <c r="CX19" s="211"/>
      <c r="CY19" s="208"/>
      <c r="CZ19" s="236"/>
      <c r="DA19" s="237"/>
      <c r="DB19" s="209"/>
      <c r="DC19" s="220"/>
      <c r="DD19" s="220"/>
      <c r="DE19" s="208"/>
      <c r="DF19" s="208"/>
      <c r="DG19" s="221"/>
      <c r="DI19" s="205" t="str">
        <f t="shared" si="8"/>
        <v>Groep C</v>
      </c>
      <c r="DJ19" s="207"/>
      <c r="DK19" s="211"/>
      <c r="DL19" s="208"/>
      <c r="DM19" s="236"/>
      <c r="DN19" s="237"/>
      <c r="DO19" s="209"/>
      <c r="DP19" s="220"/>
      <c r="DQ19" s="220"/>
      <c r="DR19" s="208"/>
      <c r="DS19" s="208"/>
      <c r="DT19" s="221"/>
      <c r="DV19" s="205" t="str">
        <f t="shared" si="9"/>
        <v>Groep C</v>
      </c>
      <c r="DW19" s="207"/>
      <c r="DX19" s="211"/>
      <c r="DY19" s="208"/>
      <c r="DZ19" s="236"/>
      <c r="EA19" s="237"/>
      <c r="EB19" s="209"/>
      <c r="EC19" s="220"/>
      <c r="ED19" s="220"/>
      <c r="EE19" s="208"/>
      <c r="EF19" s="208"/>
      <c r="EG19" s="221"/>
      <c r="EI19" s="205" t="str">
        <f t="shared" si="10"/>
        <v>Groep C</v>
      </c>
      <c r="EJ19" s="207"/>
      <c r="EK19" s="211"/>
      <c r="EL19" s="208"/>
      <c r="EM19" s="236"/>
      <c r="EN19" s="237"/>
      <c r="EO19" s="209"/>
      <c r="EP19" s="220"/>
      <c r="EQ19" s="220"/>
      <c r="ER19" s="208"/>
      <c r="ES19" s="208"/>
      <c r="ET19" s="221"/>
      <c r="EV19" s="205" t="str">
        <f t="shared" si="11"/>
        <v>Groep C</v>
      </c>
      <c r="EW19" s="207"/>
      <c r="EX19" s="211"/>
      <c r="EY19" s="208"/>
      <c r="EZ19" s="236"/>
      <c r="FA19" s="237"/>
      <c r="FB19" s="209"/>
      <c r="FC19" s="220"/>
      <c r="FD19" s="220"/>
      <c r="FE19" s="208"/>
      <c r="FF19" s="208"/>
      <c r="FG19" s="221"/>
      <c r="FI19" s="205" t="str">
        <f t="shared" si="12"/>
        <v>Groep C</v>
      </c>
      <c r="FJ19" s="207"/>
      <c r="FK19" s="211"/>
      <c r="FL19" s="208"/>
      <c r="FM19" s="236"/>
      <c r="FN19" s="237"/>
      <c r="FO19" s="209"/>
      <c r="FP19" s="220"/>
      <c r="FQ19" s="220"/>
      <c r="FR19" s="208"/>
      <c r="FS19" s="208"/>
      <c r="FT19" s="221"/>
      <c r="FV19" s="205" t="str">
        <f t="shared" si="13"/>
        <v>Groep C</v>
      </c>
      <c r="FW19" s="207"/>
      <c r="FX19" s="211"/>
      <c r="FY19" s="208"/>
      <c r="FZ19" s="236"/>
      <c r="GA19" s="237"/>
      <c r="GB19" s="209"/>
      <c r="GC19" s="220"/>
      <c r="GD19" s="220"/>
      <c r="GE19" s="208"/>
      <c r="GF19" s="208"/>
      <c r="GG19" s="221"/>
      <c r="GI19" s="205" t="str">
        <f t="shared" si="14"/>
        <v>Groep C</v>
      </c>
      <c r="GJ19" s="207"/>
      <c r="GK19" s="211"/>
      <c r="GL19" s="208"/>
      <c r="GM19" s="236"/>
      <c r="GN19" s="237"/>
      <c r="GO19" s="209"/>
      <c r="GP19" s="220"/>
      <c r="GQ19" s="220"/>
      <c r="GR19" s="208"/>
      <c r="GS19" s="208"/>
      <c r="GT19" s="221"/>
      <c r="GV19" s="205" t="str">
        <f t="shared" si="15"/>
        <v>Groep C</v>
      </c>
      <c r="GW19" s="207"/>
      <c r="GX19" s="211"/>
      <c r="GY19" s="208"/>
      <c r="GZ19" s="236"/>
      <c r="HA19" s="237"/>
      <c r="HB19" s="209"/>
      <c r="HC19" s="220"/>
      <c r="HD19" s="220"/>
      <c r="HE19" s="208"/>
      <c r="HF19" s="208"/>
      <c r="HG19" s="221"/>
      <c r="HI19" s="205" t="str">
        <f t="shared" si="16"/>
        <v>Groep C</v>
      </c>
      <c r="HJ19" s="207"/>
      <c r="HK19" s="211"/>
      <c r="HL19" s="208"/>
      <c r="HM19" s="236"/>
      <c r="HN19" s="237"/>
      <c r="HO19" s="209"/>
      <c r="HP19" s="220"/>
      <c r="HQ19" s="220"/>
      <c r="HR19" s="208"/>
      <c r="HS19" s="208"/>
      <c r="HT19" s="221"/>
      <c r="HV19" s="205" t="str">
        <f t="shared" si="17"/>
        <v>Groep C</v>
      </c>
      <c r="HW19" s="207"/>
      <c r="HX19" s="211"/>
      <c r="HY19" s="208"/>
      <c r="HZ19" s="236"/>
      <c r="IA19" s="237"/>
      <c r="IB19" s="209"/>
      <c r="IC19" s="220"/>
      <c r="ID19" s="220"/>
      <c r="IE19" s="208"/>
      <c r="IF19" s="208"/>
      <c r="IG19" s="221"/>
      <c r="II19" s="205" t="str">
        <f t="shared" si="18"/>
        <v>Groep C</v>
      </c>
      <c r="IJ19" s="207"/>
      <c r="IK19" s="211"/>
      <c r="IL19" s="208"/>
      <c r="IM19" s="236"/>
      <c r="IN19" s="237"/>
      <c r="IO19" s="209"/>
      <c r="IP19" s="220"/>
      <c r="IQ19" s="220"/>
      <c r="IR19" s="208"/>
      <c r="IS19" s="208"/>
      <c r="IT19" s="221"/>
      <c r="IV19" s="205" t="str">
        <f t="shared" si="19"/>
        <v>Groep C</v>
      </c>
      <c r="IW19" s="207"/>
      <c r="IX19" s="211"/>
      <c r="IY19" s="208"/>
      <c r="IZ19" s="236"/>
      <c r="JA19" s="237"/>
      <c r="JB19" s="209"/>
      <c r="JC19" s="220"/>
      <c r="JD19" s="220"/>
      <c r="JE19" s="208"/>
      <c r="JF19" s="208"/>
      <c r="JG19" s="221"/>
      <c r="JI19" s="205" t="str">
        <f t="shared" si="20"/>
        <v>Groep C</v>
      </c>
      <c r="JJ19" s="207"/>
      <c r="JK19" s="211"/>
      <c r="JL19" s="208"/>
      <c r="JM19" s="236"/>
      <c r="JN19" s="237"/>
      <c r="JO19" s="209"/>
      <c r="JP19" s="220"/>
      <c r="JQ19" s="220"/>
      <c r="JR19" s="208"/>
      <c r="JS19" s="208"/>
      <c r="JT19" s="221"/>
      <c r="JV19" s="205" t="str">
        <f t="shared" si="21"/>
        <v>Groep C</v>
      </c>
      <c r="JW19" s="207"/>
      <c r="JX19" s="211"/>
      <c r="JY19" s="208"/>
      <c r="JZ19" s="236"/>
      <c r="KA19" s="237"/>
      <c r="KB19" s="209"/>
      <c r="KC19" s="220"/>
      <c r="KD19" s="220"/>
      <c r="KE19" s="208"/>
      <c r="KF19" s="208"/>
      <c r="KG19" s="221"/>
      <c r="KI19" s="205" t="str">
        <f t="shared" si="22"/>
        <v>Groep C</v>
      </c>
      <c r="KJ19" s="207"/>
      <c r="KK19" s="211"/>
      <c r="KL19" s="208"/>
      <c r="KM19" s="236"/>
      <c r="KN19" s="237"/>
      <c r="KO19" s="209"/>
      <c r="KP19" s="220"/>
      <c r="KQ19" s="220"/>
      <c r="KR19" s="208"/>
      <c r="KS19" s="208"/>
      <c r="KT19" s="221"/>
      <c r="KV19" s="205" t="str">
        <f t="shared" si="23"/>
        <v>Groep C</v>
      </c>
      <c r="KW19" s="207"/>
      <c r="KX19" s="211"/>
      <c r="KY19" s="208"/>
      <c r="KZ19" s="236"/>
      <c r="LA19" s="237"/>
      <c r="LB19" s="209"/>
      <c r="LC19" s="220"/>
      <c r="LD19" s="220"/>
      <c r="LE19" s="208"/>
      <c r="LF19" s="208"/>
      <c r="LG19" s="221"/>
      <c r="LI19" s="205" t="str">
        <f t="shared" si="24"/>
        <v>Groep C</v>
      </c>
      <c r="LJ19" s="207"/>
      <c r="LK19" s="211"/>
      <c r="LL19" s="208"/>
      <c r="LM19" s="236"/>
      <c r="LN19" s="237"/>
      <c r="LO19" s="209"/>
      <c r="LP19" s="220"/>
      <c r="LQ19" s="220"/>
      <c r="LR19" s="208"/>
      <c r="LS19" s="208"/>
      <c r="LT19" s="221"/>
      <c r="LV19" s="205" t="str">
        <f t="shared" si="25"/>
        <v>Groep C</v>
      </c>
      <c r="LW19" s="207"/>
      <c r="LX19" s="211"/>
      <c r="LY19" s="208"/>
      <c r="LZ19" s="236"/>
      <c r="MA19" s="237"/>
      <c r="MB19" s="209"/>
      <c r="MC19" s="220"/>
      <c r="MD19" s="220"/>
      <c r="ME19" s="208"/>
      <c r="MF19" s="208"/>
      <c r="MG19" s="221"/>
    </row>
    <row r="20" spans="2:345">
      <c r="B20" s="196">
        <f>INDEX(Groups!$C$7:$C$65,MATCH(C20,Groups!$D$7:$D$65,0))</f>
        <v>6</v>
      </c>
      <c r="C20" s="197" t="str">
        <f>CalcC!$P$22</f>
        <v>Brazilië</v>
      </c>
      <c r="D20" s="198">
        <f>INDEX(Groups!$C$7:$C$65,MATCH(E20,Groups!$D$7:$D$65,0))</f>
        <v>8</v>
      </c>
      <c r="E20" s="197" t="str">
        <f>CalcC!$Q$22</f>
        <v>Marokko</v>
      </c>
      <c r="F20" s="199" t="str">
        <f>CalcC!$R$22</f>
        <v/>
      </c>
      <c r="G20" s="200" t="str">
        <f>CalcC!$S$22</f>
        <v/>
      </c>
      <c r="I20" s="196">
        <f t="shared" si="0"/>
        <v>6</v>
      </c>
      <c r="J20" s="197" t="str">
        <f t="shared" ref="J20:J25" si="260">$C20</f>
        <v>Brazilië</v>
      </c>
      <c r="K20" s="198">
        <f t="shared" si="26"/>
        <v>8</v>
      </c>
      <c r="L20" s="197" t="str">
        <f t="shared" ref="L20:L25" si="261">$E20</f>
        <v>Marokko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Brazilië</v>
      </c>
      <c r="X20" s="198">
        <f t="shared" si="29"/>
        <v>8</v>
      </c>
      <c r="Y20" s="197" t="str">
        <f t="shared" ref="Y20:Y25" si="265">$E20</f>
        <v>Marokko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Brazilië</v>
      </c>
      <c r="AK20" s="198">
        <f t="shared" si="32"/>
        <v>8</v>
      </c>
      <c r="AL20" s="197" t="str">
        <f t="shared" ref="AL20:AL25" si="269">$E20</f>
        <v>Marokko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Brazilië</v>
      </c>
      <c r="AX20" s="198">
        <f t="shared" si="35"/>
        <v>8</v>
      </c>
      <c r="AY20" s="197" t="str">
        <f t="shared" ref="AY20:AY25" si="273">$E20</f>
        <v>Marokko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Brazilië</v>
      </c>
      <c r="BK20" s="198">
        <f t="shared" si="38"/>
        <v>8</v>
      </c>
      <c r="BL20" s="197" t="str">
        <f t="shared" ref="BL20:BL25" si="277">$E20</f>
        <v>Marokko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Brazilië</v>
      </c>
      <c r="BX20" s="198">
        <f t="shared" si="41"/>
        <v>8</v>
      </c>
      <c r="BY20" s="197" t="str">
        <f t="shared" ref="BY20:BY25" si="281">$E20</f>
        <v>Marokko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Brazilië</v>
      </c>
      <c r="CK20" s="198">
        <f t="shared" si="44"/>
        <v>8</v>
      </c>
      <c r="CL20" s="197" t="str">
        <f t="shared" ref="CL20:CL25" si="285">$E20</f>
        <v>Marokko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Brazilië</v>
      </c>
      <c r="CX20" s="198">
        <f t="shared" si="47"/>
        <v>8</v>
      </c>
      <c r="CY20" s="197" t="str">
        <f t="shared" ref="CY20:CY25" si="289">$E20</f>
        <v>Marokko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Brazilië</v>
      </c>
      <c r="DK20" s="198">
        <f t="shared" si="50"/>
        <v>8</v>
      </c>
      <c r="DL20" s="197" t="str">
        <f t="shared" ref="DL20:DL25" si="293">$E20</f>
        <v>Marokko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Brazilië</v>
      </c>
      <c r="DX20" s="198">
        <f t="shared" si="53"/>
        <v>8</v>
      </c>
      <c r="DY20" s="197" t="str">
        <f t="shared" ref="DY20:DY25" si="297">$E20</f>
        <v>Marokko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Brazilië</v>
      </c>
      <c r="EK20" s="198">
        <f t="shared" si="56"/>
        <v>8</v>
      </c>
      <c r="EL20" s="197" t="str">
        <f t="shared" ref="EL20:EL25" si="301">$E20</f>
        <v>Marokko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Brazilië</v>
      </c>
      <c r="EX20" s="198">
        <f t="shared" si="59"/>
        <v>8</v>
      </c>
      <c r="EY20" s="197" t="str">
        <f t="shared" ref="EY20:EY25" si="305">$E20</f>
        <v>Marokko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Brazilië</v>
      </c>
      <c r="FK20" s="198">
        <f t="shared" si="62"/>
        <v>8</v>
      </c>
      <c r="FL20" s="197" t="str">
        <f t="shared" ref="FL20:FL25" si="309">$E20</f>
        <v>Marokko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Brazilië</v>
      </c>
      <c r="FX20" s="198">
        <f t="shared" si="65"/>
        <v>8</v>
      </c>
      <c r="FY20" s="197" t="str">
        <f t="shared" ref="FY20:FY25" si="313">$E20</f>
        <v>Marokko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Brazilië</v>
      </c>
      <c r="GK20" s="198">
        <f t="shared" si="68"/>
        <v>8</v>
      </c>
      <c r="GL20" s="197" t="str">
        <f t="shared" ref="GL20:GL25" si="317">$E20</f>
        <v>Marokko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Brazilië</v>
      </c>
      <c r="GX20" s="198">
        <f t="shared" si="71"/>
        <v>8</v>
      </c>
      <c r="GY20" s="197" t="str">
        <f t="shared" ref="GY20:GY25" si="321">$E20</f>
        <v>Marokko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Brazilië</v>
      </c>
      <c r="HK20" s="198">
        <f t="shared" si="74"/>
        <v>8</v>
      </c>
      <c r="HL20" s="197" t="str">
        <f t="shared" ref="HL20:HL25" si="325">$E20</f>
        <v>Marokko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Brazilië</v>
      </c>
      <c r="HX20" s="198">
        <f t="shared" si="77"/>
        <v>8</v>
      </c>
      <c r="HY20" s="197" t="str">
        <f t="shared" ref="HY20:HY25" si="329">$E20</f>
        <v>Marokko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Brazilië</v>
      </c>
      <c r="IK20" s="198">
        <f t="shared" si="80"/>
        <v>8</v>
      </c>
      <c r="IL20" s="197" t="str">
        <f t="shared" ref="IL20:IL25" si="333">$E20</f>
        <v>Marokko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Brazilië</v>
      </c>
      <c r="IX20" s="198">
        <f t="shared" si="83"/>
        <v>8</v>
      </c>
      <c r="IY20" s="197" t="str">
        <f t="shared" ref="IY20:IY25" si="337">$E20</f>
        <v>Marokko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Brazilië</v>
      </c>
      <c r="JK20" s="198">
        <f t="shared" si="86"/>
        <v>8</v>
      </c>
      <c r="JL20" s="197" t="str">
        <f t="shared" ref="JL20:JL25" si="341">$E20</f>
        <v>Marokko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Brazilië</v>
      </c>
      <c r="JX20" s="198">
        <f t="shared" si="89"/>
        <v>8</v>
      </c>
      <c r="JY20" s="197" t="str">
        <f t="shared" ref="JY20:JY25" si="345">$E20</f>
        <v>Marokko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Brazilië</v>
      </c>
      <c r="KK20" s="198">
        <f t="shared" si="92"/>
        <v>8</v>
      </c>
      <c r="KL20" s="197" t="str">
        <f t="shared" ref="KL20:KL25" si="349">$E20</f>
        <v>Marokko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Brazilië</v>
      </c>
      <c r="KX20" s="198">
        <f t="shared" si="95"/>
        <v>8</v>
      </c>
      <c r="KY20" s="197" t="str">
        <f t="shared" ref="KY20:KY25" si="353">$E20</f>
        <v>Marokko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Brazilië</v>
      </c>
      <c r="LK20" s="198">
        <f t="shared" si="98"/>
        <v>8</v>
      </c>
      <c r="LL20" s="197" t="str">
        <f t="shared" ref="LL20:LL25" si="357">$E20</f>
        <v>Marokko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Brazilië</v>
      </c>
      <c r="LX20" s="198">
        <f t="shared" si="101"/>
        <v>8</v>
      </c>
      <c r="LY20" s="197" t="str">
        <f t="shared" ref="LY20:LY25" si="361">$E20</f>
        <v>Marokko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c r="B21" s="196">
        <f>INDEX(Groups!$C$7:$C$65,MATCH(C21,Groups!$D$7:$D$65,0))</f>
        <v>83</v>
      </c>
      <c r="C21" s="197" t="str">
        <f>CalcC!$P$23</f>
        <v>Haïti</v>
      </c>
      <c r="D21" s="198">
        <f>INDEX(Groups!$C$7:$C$65,MATCH(E21,Groups!$D$7:$D$65,0))</f>
        <v>43</v>
      </c>
      <c r="E21" s="197" t="str">
        <f>CalcC!$Q$23</f>
        <v>Schotland</v>
      </c>
      <c r="F21" s="725" t="str">
        <f>CalcC!$R$23</f>
        <v/>
      </c>
      <c r="G21" s="200" t="str">
        <f>CalcC!$S$23</f>
        <v/>
      </c>
      <c r="I21" s="196">
        <f t="shared" si="0"/>
        <v>83</v>
      </c>
      <c r="J21" s="197" t="str">
        <f t="shared" si="260"/>
        <v>Haïti</v>
      </c>
      <c r="K21" s="198">
        <f t="shared" si="26"/>
        <v>43</v>
      </c>
      <c r="L21" s="197" t="str">
        <f t="shared" si="261"/>
        <v>Schotland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Haïti</v>
      </c>
      <c r="X21" s="198">
        <f t="shared" si="29"/>
        <v>43</v>
      </c>
      <c r="Y21" s="197" t="str">
        <f t="shared" si="265"/>
        <v>Schotland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Haïti</v>
      </c>
      <c r="AK21" s="198">
        <f t="shared" si="32"/>
        <v>43</v>
      </c>
      <c r="AL21" s="197" t="str">
        <f t="shared" si="269"/>
        <v>Schotland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Haïti</v>
      </c>
      <c r="AX21" s="198">
        <f t="shared" si="35"/>
        <v>43</v>
      </c>
      <c r="AY21" s="197" t="str">
        <f t="shared" si="273"/>
        <v>Schotland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Haïti</v>
      </c>
      <c r="BK21" s="198">
        <f t="shared" si="38"/>
        <v>43</v>
      </c>
      <c r="BL21" s="197" t="str">
        <f t="shared" si="277"/>
        <v>Schotland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Haïti</v>
      </c>
      <c r="BX21" s="198">
        <f t="shared" si="41"/>
        <v>43</v>
      </c>
      <c r="BY21" s="197" t="str">
        <f t="shared" si="281"/>
        <v>Schotland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Haïti</v>
      </c>
      <c r="CK21" s="198">
        <f t="shared" si="44"/>
        <v>43</v>
      </c>
      <c r="CL21" s="197" t="str">
        <f t="shared" si="285"/>
        <v>Schotland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Haïti</v>
      </c>
      <c r="CX21" s="198">
        <f t="shared" si="47"/>
        <v>43</v>
      </c>
      <c r="CY21" s="197" t="str">
        <f t="shared" si="289"/>
        <v>Schotland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Haïti</v>
      </c>
      <c r="DK21" s="198">
        <f t="shared" si="50"/>
        <v>43</v>
      </c>
      <c r="DL21" s="197" t="str">
        <f t="shared" si="293"/>
        <v>Schotland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Haïti</v>
      </c>
      <c r="DX21" s="198">
        <f t="shared" si="53"/>
        <v>43</v>
      </c>
      <c r="DY21" s="197" t="str">
        <f t="shared" si="297"/>
        <v>Schotland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Haïti</v>
      </c>
      <c r="EK21" s="198">
        <f t="shared" si="56"/>
        <v>43</v>
      </c>
      <c r="EL21" s="197" t="str">
        <f t="shared" si="301"/>
        <v>Schotland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Haïti</v>
      </c>
      <c r="EX21" s="198">
        <f t="shared" si="59"/>
        <v>43</v>
      </c>
      <c r="EY21" s="197" t="str">
        <f t="shared" si="305"/>
        <v>Schotland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Haïti</v>
      </c>
      <c r="FK21" s="198">
        <f t="shared" si="62"/>
        <v>43</v>
      </c>
      <c r="FL21" s="197" t="str">
        <f t="shared" si="309"/>
        <v>Schotland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Haïti</v>
      </c>
      <c r="FX21" s="198">
        <f t="shared" si="65"/>
        <v>43</v>
      </c>
      <c r="FY21" s="197" t="str">
        <f t="shared" si="313"/>
        <v>Schotland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Haïti</v>
      </c>
      <c r="GK21" s="198">
        <f t="shared" si="68"/>
        <v>43</v>
      </c>
      <c r="GL21" s="197" t="str">
        <f t="shared" si="317"/>
        <v>Schotland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Haïti</v>
      </c>
      <c r="GX21" s="198">
        <f t="shared" si="71"/>
        <v>43</v>
      </c>
      <c r="GY21" s="197" t="str">
        <f t="shared" si="321"/>
        <v>Schotland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Haïti</v>
      </c>
      <c r="HK21" s="198">
        <f t="shared" si="74"/>
        <v>43</v>
      </c>
      <c r="HL21" s="197" t="str">
        <f t="shared" si="325"/>
        <v>Schotland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Haïti</v>
      </c>
      <c r="HX21" s="198">
        <f t="shared" si="77"/>
        <v>43</v>
      </c>
      <c r="HY21" s="197" t="str">
        <f t="shared" si="329"/>
        <v>Schotland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Haïti</v>
      </c>
      <c r="IK21" s="198">
        <f t="shared" si="80"/>
        <v>43</v>
      </c>
      <c r="IL21" s="197" t="str">
        <f t="shared" si="333"/>
        <v>Schotland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Haïti</v>
      </c>
      <c r="IX21" s="198">
        <f t="shared" si="83"/>
        <v>43</v>
      </c>
      <c r="IY21" s="197" t="str">
        <f t="shared" si="337"/>
        <v>Schotland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Haïti</v>
      </c>
      <c r="JK21" s="198">
        <f t="shared" si="86"/>
        <v>43</v>
      </c>
      <c r="JL21" s="197" t="str">
        <f t="shared" si="341"/>
        <v>Schotland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Haïti</v>
      </c>
      <c r="JX21" s="198">
        <f t="shared" si="89"/>
        <v>43</v>
      </c>
      <c r="JY21" s="197" t="str">
        <f t="shared" si="345"/>
        <v>Schotland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Haïti</v>
      </c>
      <c r="KK21" s="198">
        <f t="shared" si="92"/>
        <v>43</v>
      </c>
      <c r="KL21" s="197" t="str">
        <f t="shared" si="349"/>
        <v>Schotland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Haïti</v>
      </c>
      <c r="KX21" s="198">
        <f t="shared" si="95"/>
        <v>43</v>
      </c>
      <c r="KY21" s="197" t="str">
        <f t="shared" si="353"/>
        <v>Schotland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Haïti</v>
      </c>
      <c r="LK21" s="198">
        <f t="shared" si="98"/>
        <v>43</v>
      </c>
      <c r="LL21" s="197" t="str">
        <f t="shared" si="357"/>
        <v>Schotland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Haïti</v>
      </c>
      <c r="LX21" s="198">
        <f t="shared" si="101"/>
        <v>43</v>
      </c>
      <c r="LY21" s="197" t="str">
        <f t="shared" si="361"/>
        <v>Schotland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c r="B22" s="196">
        <f>INDEX(Groups!$C$7:$C$65,MATCH(C22,Groups!$D$7:$D$65,0))</f>
        <v>43</v>
      </c>
      <c r="C22" s="197" t="str">
        <f>CalcC!$P$24</f>
        <v>Schotland</v>
      </c>
      <c r="D22" s="198">
        <f>INDEX(Groups!$C$7:$C$65,MATCH(E22,Groups!$D$7:$D$65,0))</f>
        <v>8</v>
      </c>
      <c r="E22" s="197" t="str">
        <f>CalcC!$Q$24</f>
        <v>Marokko</v>
      </c>
      <c r="F22" s="199" t="str">
        <f>CalcC!$R$24</f>
        <v/>
      </c>
      <c r="G22" s="200" t="str">
        <f>CalcC!$S$24</f>
        <v/>
      </c>
      <c r="I22" s="196">
        <f t="shared" si="0"/>
        <v>43</v>
      </c>
      <c r="J22" s="197" t="str">
        <f t="shared" si="260"/>
        <v>Schotland</v>
      </c>
      <c r="K22" s="198">
        <f t="shared" si="26"/>
        <v>8</v>
      </c>
      <c r="L22" s="197" t="str">
        <f t="shared" si="261"/>
        <v>Marokko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Schotland</v>
      </c>
      <c r="X22" s="198">
        <f t="shared" si="29"/>
        <v>8</v>
      </c>
      <c r="Y22" s="197" t="str">
        <f t="shared" si="265"/>
        <v>Marokko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Schotland</v>
      </c>
      <c r="AK22" s="198">
        <f t="shared" si="32"/>
        <v>8</v>
      </c>
      <c r="AL22" s="197" t="str">
        <f t="shared" si="269"/>
        <v>Marokko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Schotland</v>
      </c>
      <c r="AX22" s="198">
        <f t="shared" si="35"/>
        <v>8</v>
      </c>
      <c r="AY22" s="197" t="str">
        <f t="shared" si="273"/>
        <v>Marokko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Schotland</v>
      </c>
      <c r="BK22" s="198">
        <f t="shared" si="38"/>
        <v>8</v>
      </c>
      <c r="BL22" s="197" t="str">
        <f t="shared" si="277"/>
        <v>Marokko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Schotland</v>
      </c>
      <c r="BX22" s="198">
        <f t="shared" si="41"/>
        <v>8</v>
      </c>
      <c r="BY22" s="197" t="str">
        <f t="shared" si="281"/>
        <v>Marokko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Schotland</v>
      </c>
      <c r="CK22" s="198">
        <f t="shared" si="44"/>
        <v>8</v>
      </c>
      <c r="CL22" s="197" t="str">
        <f t="shared" si="285"/>
        <v>Marokko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Schotland</v>
      </c>
      <c r="CX22" s="198">
        <f t="shared" si="47"/>
        <v>8</v>
      </c>
      <c r="CY22" s="197" t="str">
        <f t="shared" si="289"/>
        <v>Marokko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Schotland</v>
      </c>
      <c r="DK22" s="198">
        <f t="shared" si="50"/>
        <v>8</v>
      </c>
      <c r="DL22" s="197" t="str">
        <f t="shared" si="293"/>
        <v>Marokko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Schotland</v>
      </c>
      <c r="DX22" s="198">
        <f t="shared" si="53"/>
        <v>8</v>
      </c>
      <c r="DY22" s="197" t="str">
        <f t="shared" si="297"/>
        <v>Marokko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Schotland</v>
      </c>
      <c r="EK22" s="198">
        <f t="shared" si="56"/>
        <v>8</v>
      </c>
      <c r="EL22" s="197" t="str">
        <f t="shared" si="301"/>
        <v>Marokko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Schotland</v>
      </c>
      <c r="EX22" s="198">
        <f t="shared" si="59"/>
        <v>8</v>
      </c>
      <c r="EY22" s="197" t="str">
        <f t="shared" si="305"/>
        <v>Marokko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Schotland</v>
      </c>
      <c r="FK22" s="198">
        <f t="shared" si="62"/>
        <v>8</v>
      </c>
      <c r="FL22" s="197" t="str">
        <f t="shared" si="309"/>
        <v>Marokko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Schotland</v>
      </c>
      <c r="FX22" s="198">
        <f t="shared" si="65"/>
        <v>8</v>
      </c>
      <c r="FY22" s="197" t="str">
        <f t="shared" si="313"/>
        <v>Marokko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Schotland</v>
      </c>
      <c r="GK22" s="198">
        <f t="shared" si="68"/>
        <v>8</v>
      </c>
      <c r="GL22" s="197" t="str">
        <f t="shared" si="317"/>
        <v>Marokko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Schotland</v>
      </c>
      <c r="GX22" s="198">
        <f t="shared" si="71"/>
        <v>8</v>
      </c>
      <c r="GY22" s="197" t="str">
        <f t="shared" si="321"/>
        <v>Marokko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Schotland</v>
      </c>
      <c r="HK22" s="198">
        <f t="shared" si="74"/>
        <v>8</v>
      </c>
      <c r="HL22" s="197" t="str">
        <f t="shared" si="325"/>
        <v>Marokko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Schotland</v>
      </c>
      <c r="HX22" s="198">
        <f t="shared" si="77"/>
        <v>8</v>
      </c>
      <c r="HY22" s="197" t="str">
        <f t="shared" si="329"/>
        <v>Marokko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Schotland</v>
      </c>
      <c r="IK22" s="198">
        <f t="shared" si="80"/>
        <v>8</v>
      </c>
      <c r="IL22" s="197" t="str">
        <f t="shared" si="333"/>
        <v>Marokko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Schotland</v>
      </c>
      <c r="IX22" s="198">
        <f t="shared" si="83"/>
        <v>8</v>
      </c>
      <c r="IY22" s="197" t="str">
        <f t="shared" si="337"/>
        <v>Marokko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Schotland</v>
      </c>
      <c r="JK22" s="198">
        <f t="shared" si="86"/>
        <v>8</v>
      </c>
      <c r="JL22" s="197" t="str">
        <f t="shared" si="341"/>
        <v>Marokko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Schotland</v>
      </c>
      <c r="JX22" s="198">
        <f t="shared" si="89"/>
        <v>8</v>
      </c>
      <c r="JY22" s="197" t="str">
        <f t="shared" si="345"/>
        <v>Marokko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Schotland</v>
      </c>
      <c r="KK22" s="198">
        <f t="shared" si="92"/>
        <v>8</v>
      </c>
      <c r="KL22" s="197" t="str">
        <f t="shared" si="349"/>
        <v>Marokko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Schotland</v>
      </c>
      <c r="KX22" s="198">
        <f t="shared" si="95"/>
        <v>8</v>
      </c>
      <c r="KY22" s="197" t="str">
        <f t="shared" si="353"/>
        <v>Marokko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Schotland</v>
      </c>
      <c r="LK22" s="198">
        <f t="shared" si="98"/>
        <v>8</v>
      </c>
      <c r="LL22" s="197" t="str">
        <f t="shared" si="357"/>
        <v>Marokko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Schotland</v>
      </c>
      <c r="LX22" s="198">
        <f t="shared" si="101"/>
        <v>8</v>
      </c>
      <c r="LY22" s="197" t="str">
        <f t="shared" si="361"/>
        <v>Marokko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c r="B23" s="196">
        <f>INDEX(Groups!$C$7:$C$65,MATCH(C23,Groups!$D$7:$D$65,0))</f>
        <v>6</v>
      </c>
      <c r="C23" s="197" t="str">
        <f>CalcC!$P$25</f>
        <v>Brazilië</v>
      </c>
      <c r="D23" s="198">
        <f>INDEX(Groups!$C$7:$C$65,MATCH(E23,Groups!$D$7:$D$65,0))</f>
        <v>83</v>
      </c>
      <c r="E23" s="197" t="str">
        <f>CalcC!$Q$25</f>
        <v>Haïti</v>
      </c>
      <c r="F23" s="199" t="str">
        <f>CalcC!$R$25</f>
        <v/>
      </c>
      <c r="G23" s="200" t="str">
        <f>CalcC!$S$25</f>
        <v/>
      </c>
      <c r="I23" s="196">
        <f t="shared" si="0"/>
        <v>6</v>
      </c>
      <c r="J23" s="197" t="str">
        <f t="shared" si="260"/>
        <v>Brazilië</v>
      </c>
      <c r="K23" s="198">
        <f t="shared" si="26"/>
        <v>83</v>
      </c>
      <c r="L23" s="197" t="str">
        <f t="shared" si="261"/>
        <v>Haïti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Brazilië</v>
      </c>
      <c r="X23" s="198">
        <f t="shared" si="29"/>
        <v>83</v>
      </c>
      <c r="Y23" s="197" t="str">
        <f t="shared" si="265"/>
        <v>Haïti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Brazilië</v>
      </c>
      <c r="AK23" s="198">
        <f t="shared" si="32"/>
        <v>83</v>
      </c>
      <c r="AL23" s="197" t="str">
        <f t="shared" si="269"/>
        <v>Haïti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Brazilië</v>
      </c>
      <c r="AX23" s="198">
        <f t="shared" si="35"/>
        <v>83</v>
      </c>
      <c r="AY23" s="197" t="str">
        <f t="shared" si="273"/>
        <v>Haïti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Brazilië</v>
      </c>
      <c r="BK23" s="198">
        <f t="shared" si="38"/>
        <v>83</v>
      </c>
      <c r="BL23" s="197" t="str">
        <f t="shared" si="277"/>
        <v>Haïti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Brazilië</v>
      </c>
      <c r="BX23" s="198">
        <f t="shared" si="41"/>
        <v>83</v>
      </c>
      <c r="BY23" s="197" t="str">
        <f t="shared" si="281"/>
        <v>Haïti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Brazilië</v>
      </c>
      <c r="CK23" s="198">
        <f t="shared" si="44"/>
        <v>83</v>
      </c>
      <c r="CL23" s="197" t="str">
        <f t="shared" si="285"/>
        <v>Haïti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Brazilië</v>
      </c>
      <c r="CX23" s="198">
        <f t="shared" si="47"/>
        <v>83</v>
      </c>
      <c r="CY23" s="197" t="str">
        <f t="shared" si="289"/>
        <v>Haïti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Brazilië</v>
      </c>
      <c r="DK23" s="198">
        <f t="shared" si="50"/>
        <v>83</v>
      </c>
      <c r="DL23" s="197" t="str">
        <f t="shared" si="293"/>
        <v>Haïti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Brazilië</v>
      </c>
      <c r="DX23" s="198">
        <f t="shared" si="53"/>
        <v>83</v>
      </c>
      <c r="DY23" s="197" t="str">
        <f t="shared" si="297"/>
        <v>Haïti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Brazilië</v>
      </c>
      <c r="EK23" s="198">
        <f t="shared" si="56"/>
        <v>83</v>
      </c>
      <c r="EL23" s="197" t="str">
        <f t="shared" si="301"/>
        <v>Haïti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Brazilië</v>
      </c>
      <c r="EX23" s="198">
        <f t="shared" si="59"/>
        <v>83</v>
      </c>
      <c r="EY23" s="197" t="str">
        <f t="shared" si="305"/>
        <v>Haïti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Brazilië</v>
      </c>
      <c r="FK23" s="198">
        <f t="shared" si="62"/>
        <v>83</v>
      </c>
      <c r="FL23" s="197" t="str">
        <f t="shared" si="309"/>
        <v>Haïti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Brazilië</v>
      </c>
      <c r="FX23" s="198">
        <f t="shared" si="65"/>
        <v>83</v>
      </c>
      <c r="FY23" s="197" t="str">
        <f t="shared" si="313"/>
        <v>Haïti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Brazilië</v>
      </c>
      <c r="GK23" s="198">
        <f t="shared" si="68"/>
        <v>83</v>
      </c>
      <c r="GL23" s="197" t="str">
        <f t="shared" si="317"/>
        <v>Haïti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Brazilië</v>
      </c>
      <c r="GX23" s="198">
        <f t="shared" si="71"/>
        <v>83</v>
      </c>
      <c r="GY23" s="197" t="str">
        <f t="shared" si="321"/>
        <v>Haïti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Brazilië</v>
      </c>
      <c r="HK23" s="198">
        <f t="shared" si="74"/>
        <v>83</v>
      </c>
      <c r="HL23" s="197" t="str">
        <f t="shared" si="325"/>
        <v>Haïti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Brazilië</v>
      </c>
      <c r="HX23" s="198">
        <f t="shared" si="77"/>
        <v>83</v>
      </c>
      <c r="HY23" s="197" t="str">
        <f t="shared" si="329"/>
        <v>Haïti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Brazilië</v>
      </c>
      <c r="IK23" s="198">
        <f t="shared" si="80"/>
        <v>83</v>
      </c>
      <c r="IL23" s="197" t="str">
        <f t="shared" si="333"/>
        <v>Haïti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Brazilië</v>
      </c>
      <c r="IX23" s="198">
        <f t="shared" si="83"/>
        <v>83</v>
      </c>
      <c r="IY23" s="197" t="str">
        <f t="shared" si="337"/>
        <v>Haïti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Brazilië</v>
      </c>
      <c r="JK23" s="198">
        <f t="shared" si="86"/>
        <v>83</v>
      </c>
      <c r="JL23" s="197" t="str">
        <f t="shared" si="341"/>
        <v>Haïti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Brazilië</v>
      </c>
      <c r="JX23" s="198">
        <f t="shared" si="89"/>
        <v>83</v>
      </c>
      <c r="JY23" s="197" t="str">
        <f t="shared" si="345"/>
        <v>Haïti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Brazilië</v>
      </c>
      <c r="KK23" s="198">
        <f t="shared" si="92"/>
        <v>83</v>
      </c>
      <c r="KL23" s="197" t="str">
        <f t="shared" si="349"/>
        <v>Haïti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Brazilië</v>
      </c>
      <c r="KX23" s="198">
        <f t="shared" si="95"/>
        <v>83</v>
      </c>
      <c r="KY23" s="197" t="str">
        <f t="shared" si="353"/>
        <v>Haïti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Brazilië</v>
      </c>
      <c r="LK23" s="198">
        <f t="shared" si="98"/>
        <v>83</v>
      </c>
      <c r="LL23" s="197" t="str">
        <f t="shared" si="357"/>
        <v>Haïti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Brazilië</v>
      </c>
      <c r="LX23" s="198">
        <f t="shared" si="101"/>
        <v>83</v>
      </c>
      <c r="LY23" s="197" t="str">
        <f t="shared" si="361"/>
        <v>Haïti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c r="B24" s="196">
        <f>INDEX(Groups!$C$7:$C$65,MATCH(C24,Groups!$D$7:$D$65,0))</f>
        <v>43</v>
      </c>
      <c r="C24" s="197" t="str">
        <f>CalcC!$P$26</f>
        <v>Schotland</v>
      </c>
      <c r="D24" s="198">
        <f>INDEX(Groups!$C$7:$C$65,MATCH(E24,Groups!$D$7:$D$65,0))</f>
        <v>6</v>
      </c>
      <c r="E24" s="197" t="str">
        <f>CalcC!$Q$26</f>
        <v>Brazilië</v>
      </c>
      <c r="F24" s="199" t="str">
        <f>CalcC!$R$26</f>
        <v/>
      </c>
      <c r="G24" s="200" t="str">
        <f>CalcC!$S$26</f>
        <v/>
      </c>
      <c r="I24" s="196">
        <f t="shared" si="0"/>
        <v>43</v>
      </c>
      <c r="J24" s="197" t="str">
        <f t="shared" si="260"/>
        <v>Schotland</v>
      </c>
      <c r="K24" s="198">
        <f t="shared" si="26"/>
        <v>6</v>
      </c>
      <c r="L24" s="197" t="str">
        <f t="shared" si="261"/>
        <v>Brazilië</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Schotland</v>
      </c>
      <c r="X24" s="198">
        <f t="shared" si="29"/>
        <v>6</v>
      </c>
      <c r="Y24" s="197" t="str">
        <f t="shared" si="265"/>
        <v>Brazilië</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Schotland</v>
      </c>
      <c r="AK24" s="198">
        <f t="shared" si="32"/>
        <v>6</v>
      </c>
      <c r="AL24" s="197" t="str">
        <f t="shared" si="269"/>
        <v>Brazilië</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Schotland</v>
      </c>
      <c r="AX24" s="198">
        <f t="shared" si="35"/>
        <v>6</v>
      </c>
      <c r="AY24" s="197" t="str">
        <f t="shared" si="273"/>
        <v>Brazilië</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Schotland</v>
      </c>
      <c r="BK24" s="198">
        <f t="shared" si="38"/>
        <v>6</v>
      </c>
      <c r="BL24" s="197" t="str">
        <f t="shared" si="277"/>
        <v>Brazilië</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Schotland</v>
      </c>
      <c r="BX24" s="198">
        <f t="shared" si="41"/>
        <v>6</v>
      </c>
      <c r="BY24" s="197" t="str">
        <f t="shared" si="281"/>
        <v>Brazilië</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Schotland</v>
      </c>
      <c r="CK24" s="198">
        <f t="shared" si="44"/>
        <v>6</v>
      </c>
      <c r="CL24" s="197" t="str">
        <f t="shared" si="285"/>
        <v>Brazilië</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Schotland</v>
      </c>
      <c r="CX24" s="198">
        <f t="shared" si="47"/>
        <v>6</v>
      </c>
      <c r="CY24" s="197" t="str">
        <f t="shared" si="289"/>
        <v>Brazilië</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Schotland</v>
      </c>
      <c r="DK24" s="198">
        <f t="shared" si="50"/>
        <v>6</v>
      </c>
      <c r="DL24" s="197" t="str">
        <f t="shared" si="293"/>
        <v>Brazilië</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Schotland</v>
      </c>
      <c r="DX24" s="198">
        <f t="shared" si="53"/>
        <v>6</v>
      </c>
      <c r="DY24" s="197" t="str">
        <f t="shared" si="297"/>
        <v>Brazilië</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Schotland</v>
      </c>
      <c r="EK24" s="198">
        <f t="shared" si="56"/>
        <v>6</v>
      </c>
      <c r="EL24" s="197" t="str">
        <f t="shared" si="301"/>
        <v>Brazilië</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Schotland</v>
      </c>
      <c r="EX24" s="198">
        <f t="shared" si="59"/>
        <v>6</v>
      </c>
      <c r="EY24" s="197" t="str">
        <f t="shared" si="305"/>
        <v>Brazilië</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Schotland</v>
      </c>
      <c r="FK24" s="198">
        <f t="shared" si="62"/>
        <v>6</v>
      </c>
      <c r="FL24" s="197" t="str">
        <f t="shared" si="309"/>
        <v>Brazilië</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Schotland</v>
      </c>
      <c r="FX24" s="198">
        <f t="shared" si="65"/>
        <v>6</v>
      </c>
      <c r="FY24" s="197" t="str">
        <f t="shared" si="313"/>
        <v>Brazilië</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Schotland</v>
      </c>
      <c r="GK24" s="198">
        <f t="shared" si="68"/>
        <v>6</v>
      </c>
      <c r="GL24" s="197" t="str">
        <f t="shared" si="317"/>
        <v>Brazilië</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Schotland</v>
      </c>
      <c r="GX24" s="198">
        <f t="shared" si="71"/>
        <v>6</v>
      </c>
      <c r="GY24" s="197" t="str">
        <f t="shared" si="321"/>
        <v>Brazilië</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Schotland</v>
      </c>
      <c r="HK24" s="198">
        <f t="shared" si="74"/>
        <v>6</v>
      </c>
      <c r="HL24" s="197" t="str">
        <f t="shared" si="325"/>
        <v>Brazilië</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Schotland</v>
      </c>
      <c r="HX24" s="198">
        <f t="shared" si="77"/>
        <v>6</v>
      </c>
      <c r="HY24" s="197" t="str">
        <f t="shared" si="329"/>
        <v>Brazilië</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Schotland</v>
      </c>
      <c r="IK24" s="198">
        <f t="shared" si="80"/>
        <v>6</v>
      </c>
      <c r="IL24" s="197" t="str">
        <f t="shared" si="333"/>
        <v>Brazilië</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Schotland</v>
      </c>
      <c r="IX24" s="198">
        <f t="shared" si="83"/>
        <v>6</v>
      </c>
      <c r="IY24" s="197" t="str">
        <f t="shared" si="337"/>
        <v>Brazilië</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Schotland</v>
      </c>
      <c r="JK24" s="198">
        <f t="shared" si="86"/>
        <v>6</v>
      </c>
      <c r="JL24" s="197" t="str">
        <f t="shared" si="341"/>
        <v>Brazilië</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Schotland</v>
      </c>
      <c r="JX24" s="198">
        <f t="shared" si="89"/>
        <v>6</v>
      </c>
      <c r="JY24" s="197" t="str">
        <f t="shared" si="345"/>
        <v>Brazilië</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Schotland</v>
      </c>
      <c r="KK24" s="198">
        <f t="shared" si="92"/>
        <v>6</v>
      </c>
      <c r="KL24" s="197" t="str">
        <f t="shared" si="349"/>
        <v>Brazilië</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Schotland</v>
      </c>
      <c r="KX24" s="198">
        <f t="shared" si="95"/>
        <v>6</v>
      </c>
      <c r="KY24" s="197" t="str">
        <f t="shared" si="353"/>
        <v>Brazilië</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Schotland</v>
      </c>
      <c r="LK24" s="198">
        <f t="shared" si="98"/>
        <v>6</v>
      </c>
      <c r="LL24" s="197" t="str">
        <f t="shared" si="357"/>
        <v>Brazilië</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Schotland</v>
      </c>
      <c r="LX24" s="198">
        <f t="shared" si="101"/>
        <v>6</v>
      </c>
      <c r="LY24" s="197" t="str">
        <f t="shared" si="361"/>
        <v>Brazilië</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c r="B25" s="196">
        <f>INDEX(Groups!$C$7:$C$65,MATCH(C25,Groups!$D$7:$D$65,0))</f>
        <v>8</v>
      </c>
      <c r="C25" s="197" t="str">
        <f>CalcC!$P$27</f>
        <v>Marokko</v>
      </c>
      <c r="D25" s="198">
        <f>INDEX(Groups!$C$7:$C$65,MATCH(E25,Groups!$D$7:$D$65,0))</f>
        <v>83</v>
      </c>
      <c r="E25" s="197" t="str">
        <f>CalcC!$Q$27</f>
        <v>Haïti</v>
      </c>
      <c r="F25" s="199" t="str">
        <f>CalcC!$R$27</f>
        <v/>
      </c>
      <c r="G25" s="200" t="str">
        <f>CalcC!$S$27</f>
        <v/>
      </c>
      <c r="I25" s="196">
        <f t="shared" si="0"/>
        <v>8</v>
      </c>
      <c r="J25" s="197" t="str">
        <f t="shared" si="260"/>
        <v>Marokko</v>
      </c>
      <c r="K25" s="198">
        <f t="shared" si="26"/>
        <v>83</v>
      </c>
      <c r="L25" s="197" t="str">
        <f t="shared" si="261"/>
        <v>Haïti</v>
      </c>
      <c r="M25" s="232"/>
      <c r="N25" s="232"/>
      <c r="O25" s="473"/>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4"/>
      <c r="V25" s="196">
        <f t="shared" si="1"/>
        <v>8</v>
      </c>
      <c r="W25" s="197" t="str">
        <f t="shared" si="264"/>
        <v>Marokko</v>
      </c>
      <c r="X25" s="198">
        <f t="shared" si="29"/>
        <v>83</v>
      </c>
      <c r="Y25" s="197" t="str">
        <f t="shared" si="265"/>
        <v>Haïti</v>
      </c>
      <c r="Z25" s="232"/>
      <c r="AA25" s="232"/>
      <c r="AB25" s="473"/>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4"/>
      <c r="AI25" s="196">
        <f t="shared" si="2"/>
        <v>8</v>
      </c>
      <c r="AJ25" s="197" t="str">
        <f t="shared" si="268"/>
        <v>Marokko</v>
      </c>
      <c r="AK25" s="198">
        <f t="shared" si="32"/>
        <v>83</v>
      </c>
      <c r="AL25" s="197" t="str">
        <f t="shared" si="269"/>
        <v>Haïti</v>
      </c>
      <c r="AM25" s="232"/>
      <c r="AN25" s="232"/>
      <c r="AO25" s="473"/>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4"/>
      <c r="AV25" s="196">
        <f t="shared" si="3"/>
        <v>8</v>
      </c>
      <c r="AW25" s="197" t="str">
        <f t="shared" si="272"/>
        <v>Marokko</v>
      </c>
      <c r="AX25" s="198">
        <f t="shared" si="35"/>
        <v>83</v>
      </c>
      <c r="AY25" s="197" t="str">
        <f t="shared" si="273"/>
        <v>Haïti</v>
      </c>
      <c r="AZ25" s="232"/>
      <c r="BA25" s="232"/>
      <c r="BB25" s="473"/>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4"/>
      <c r="BI25" s="196">
        <f t="shared" si="4"/>
        <v>8</v>
      </c>
      <c r="BJ25" s="197" t="str">
        <f t="shared" si="276"/>
        <v>Marokko</v>
      </c>
      <c r="BK25" s="198">
        <f t="shared" si="38"/>
        <v>83</v>
      </c>
      <c r="BL25" s="197" t="str">
        <f t="shared" si="277"/>
        <v>Haïti</v>
      </c>
      <c r="BM25" s="232"/>
      <c r="BN25" s="232"/>
      <c r="BO25" s="473"/>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4"/>
      <c r="BV25" s="196">
        <f t="shared" si="5"/>
        <v>8</v>
      </c>
      <c r="BW25" s="197" t="str">
        <f t="shared" si="280"/>
        <v>Marokko</v>
      </c>
      <c r="BX25" s="198">
        <f t="shared" si="41"/>
        <v>83</v>
      </c>
      <c r="BY25" s="197" t="str">
        <f t="shared" si="281"/>
        <v>Haïti</v>
      </c>
      <c r="BZ25" s="232"/>
      <c r="CA25" s="232"/>
      <c r="CB25" s="473"/>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4"/>
      <c r="CI25" s="196">
        <f t="shared" si="6"/>
        <v>8</v>
      </c>
      <c r="CJ25" s="197" t="str">
        <f t="shared" si="284"/>
        <v>Marokko</v>
      </c>
      <c r="CK25" s="198">
        <f t="shared" si="44"/>
        <v>83</v>
      </c>
      <c r="CL25" s="197" t="str">
        <f t="shared" si="285"/>
        <v>Haïti</v>
      </c>
      <c r="CM25" s="232"/>
      <c r="CN25" s="232"/>
      <c r="CO25" s="473"/>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4"/>
      <c r="CV25" s="196">
        <f t="shared" si="7"/>
        <v>8</v>
      </c>
      <c r="CW25" s="197" t="str">
        <f t="shared" si="288"/>
        <v>Marokko</v>
      </c>
      <c r="CX25" s="198">
        <f t="shared" si="47"/>
        <v>83</v>
      </c>
      <c r="CY25" s="197" t="str">
        <f t="shared" si="289"/>
        <v>Haïti</v>
      </c>
      <c r="CZ25" s="232"/>
      <c r="DA25" s="232"/>
      <c r="DB25" s="473"/>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4"/>
      <c r="DI25" s="196">
        <f t="shared" si="8"/>
        <v>8</v>
      </c>
      <c r="DJ25" s="197" t="str">
        <f t="shared" si="292"/>
        <v>Marokko</v>
      </c>
      <c r="DK25" s="198">
        <f t="shared" si="50"/>
        <v>83</v>
      </c>
      <c r="DL25" s="197" t="str">
        <f t="shared" si="293"/>
        <v>Haïti</v>
      </c>
      <c r="DM25" s="232"/>
      <c r="DN25" s="232"/>
      <c r="DO25" s="473"/>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4"/>
      <c r="DV25" s="196">
        <f t="shared" si="9"/>
        <v>8</v>
      </c>
      <c r="DW25" s="197" t="str">
        <f t="shared" si="296"/>
        <v>Marokko</v>
      </c>
      <c r="DX25" s="198">
        <f t="shared" si="53"/>
        <v>83</v>
      </c>
      <c r="DY25" s="197" t="str">
        <f t="shared" si="297"/>
        <v>Haïti</v>
      </c>
      <c r="DZ25" s="232"/>
      <c r="EA25" s="232"/>
      <c r="EB25" s="473"/>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4"/>
      <c r="EI25" s="196">
        <f t="shared" si="10"/>
        <v>8</v>
      </c>
      <c r="EJ25" s="197" t="str">
        <f t="shared" si="300"/>
        <v>Marokko</v>
      </c>
      <c r="EK25" s="198">
        <f t="shared" si="56"/>
        <v>83</v>
      </c>
      <c r="EL25" s="197" t="str">
        <f t="shared" si="301"/>
        <v>Haïti</v>
      </c>
      <c r="EM25" s="232"/>
      <c r="EN25" s="232"/>
      <c r="EO25" s="473"/>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4"/>
      <c r="EV25" s="196">
        <f t="shared" si="11"/>
        <v>8</v>
      </c>
      <c r="EW25" s="197" t="str">
        <f t="shared" si="304"/>
        <v>Marokko</v>
      </c>
      <c r="EX25" s="198">
        <f t="shared" si="59"/>
        <v>83</v>
      </c>
      <c r="EY25" s="197" t="str">
        <f t="shared" si="305"/>
        <v>Haïti</v>
      </c>
      <c r="EZ25" s="232"/>
      <c r="FA25" s="232"/>
      <c r="FB25" s="473"/>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4"/>
      <c r="FI25" s="196">
        <f t="shared" si="12"/>
        <v>8</v>
      </c>
      <c r="FJ25" s="197" t="str">
        <f t="shared" si="308"/>
        <v>Marokko</v>
      </c>
      <c r="FK25" s="198">
        <f t="shared" si="62"/>
        <v>83</v>
      </c>
      <c r="FL25" s="197" t="str">
        <f t="shared" si="309"/>
        <v>Haïti</v>
      </c>
      <c r="FM25" s="232"/>
      <c r="FN25" s="232"/>
      <c r="FO25" s="473"/>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4"/>
      <c r="FV25" s="196">
        <f t="shared" si="13"/>
        <v>8</v>
      </c>
      <c r="FW25" s="197" t="str">
        <f t="shared" si="312"/>
        <v>Marokko</v>
      </c>
      <c r="FX25" s="198">
        <f t="shared" si="65"/>
        <v>83</v>
      </c>
      <c r="FY25" s="197" t="str">
        <f t="shared" si="313"/>
        <v>Haïti</v>
      </c>
      <c r="FZ25" s="232"/>
      <c r="GA25" s="232"/>
      <c r="GB25" s="473"/>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4"/>
      <c r="GI25" s="196">
        <f t="shared" si="14"/>
        <v>8</v>
      </c>
      <c r="GJ25" s="197" t="str">
        <f t="shared" si="316"/>
        <v>Marokko</v>
      </c>
      <c r="GK25" s="198">
        <f t="shared" si="68"/>
        <v>83</v>
      </c>
      <c r="GL25" s="197" t="str">
        <f t="shared" si="317"/>
        <v>Haïti</v>
      </c>
      <c r="GM25" s="232"/>
      <c r="GN25" s="232"/>
      <c r="GO25" s="473"/>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4"/>
      <c r="GV25" s="196">
        <f t="shared" si="15"/>
        <v>8</v>
      </c>
      <c r="GW25" s="197" t="str">
        <f t="shared" si="320"/>
        <v>Marokko</v>
      </c>
      <c r="GX25" s="198">
        <f t="shared" si="71"/>
        <v>83</v>
      </c>
      <c r="GY25" s="197" t="str">
        <f t="shared" si="321"/>
        <v>Haïti</v>
      </c>
      <c r="GZ25" s="232"/>
      <c r="HA25" s="232"/>
      <c r="HB25" s="473"/>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4"/>
      <c r="HI25" s="196">
        <f t="shared" si="16"/>
        <v>8</v>
      </c>
      <c r="HJ25" s="197" t="str">
        <f t="shared" si="324"/>
        <v>Marokko</v>
      </c>
      <c r="HK25" s="198">
        <f t="shared" si="74"/>
        <v>83</v>
      </c>
      <c r="HL25" s="197" t="str">
        <f t="shared" si="325"/>
        <v>Haïti</v>
      </c>
      <c r="HM25" s="232"/>
      <c r="HN25" s="232"/>
      <c r="HO25" s="473"/>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4"/>
      <c r="HV25" s="196">
        <f t="shared" si="17"/>
        <v>8</v>
      </c>
      <c r="HW25" s="197" t="str">
        <f t="shared" si="328"/>
        <v>Marokko</v>
      </c>
      <c r="HX25" s="198">
        <f t="shared" si="77"/>
        <v>83</v>
      </c>
      <c r="HY25" s="197" t="str">
        <f t="shared" si="329"/>
        <v>Haïti</v>
      </c>
      <c r="HZ25" s="232"/>
      <c r="IA25" s="232"/>
      <c r="IB25" s="473"/>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4"/>
      <c r="II25" s="196">
        <f t="shared" si="18"/>
        <v>8</v>
      </c>
      <c r="IJ25" s="197" t="str">
        <f t="shared" si="332"/>
        <v>Marokko</v>
      </c>
      <c r="IK25" s="198">
        <f t="shared" si="80"/>
        <v>83</v>
      </c>
      <c r="IL25" s="197" t="str">
        <f t="shared" si="333"/>
        <v>Haïti</v>
      </c>
      <c r="IM25" s="232"/>
      <c r="IN25" s="232"/>
      <c r="IO25" s="473"/>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4"/>
      <c r="IV25" s="196">
        <f t="shared" si="19"/>
        <v>8</v>
      </c>
      <c r="IW25" s="197" t="str">
        <f t="shared" si="336"/>
        <v>Marokko</v>
      </c>
      <c r="IX25" s="198">
        <f t="shared" si="83"/>
        <v>83</v>
      </c>
      <c r="IY25" s="197" t="str">
        <f t="shared" si="337"/>
        <v>Haïti</v>
      </c>
      <c r="IZ25" s="232"/>
      <c r="JA25" s="232"/>
      <c r="JB25" s="473"/>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4"/>
      <c r="JI25" s="196">
        <f t="shared" si="20"/>
        <v>8</v>
      </c>
      <c r="JJ25" s="197" t="str">
        <f t="shared" si="340"/>
        <v>Marokko</v>
      </c>
      <c r="JK25" s="198">
        <f t="shared" si="86"/>
        <v>83</v>
      </c>
      <c r="JL25" s="197" t="str">
        <f t="shared" si="341"/>
        <v>Haïti</v>
      </c>
      <c r="JM25" s="232"/>
      <c r="JN25" s="232"/>
      <c r="JO25" s="473"/>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4"/>
      <c r="JV25" s="196">
        <f t="shared" si="21"/>
        <v>8</v>
      </c>
      <c r="JW25" s="197" t="str">
        <f t="shared" si="344"/>
        <v>Marokko</v>
      </c>
      <c r="JX25" s="198">
        <f t="shared" si="89"/>
        <v>83</v>
      </c>
      <c r="JY25" s="197" t="str">
        <f t="shared" si="345"/>
        <v>Haïti</v>
      </c>
      <c r="JZ25" s="232"/>
      <c r="KA25" s="232"/>
      <c r="KB25" s="473"/>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4"/>
      <c r="KI25" s="196">
        <f t="shared" si="22"/>
        <v>8</v>
      </c>
      <c r="KJ25" s="197" t="str">
        <f t="shared" si="348"/>
        <v>Marokko</v>
      </c>
      <c r="KK25" s="198">
        <f t="shared" si="92"/>
        <v>83</v>
      </c>
      <c r="KL25" s="197" t="str">
        <f t="shared" si="349"/>
        <v>Haïti</v>
      </c>
      <c r="KM25" s="232"/>
      <c r="KN25" s="232"/>
      <c r="KO25" s="473"/>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4"/>
      <c r="KV25" s="196">
        <f t="shared" si="23"/>
        <v>8</v>
      </c>
      <c r="KW25" s="197" t="str">
        <f t="shared" si="352"/>
        <v>Marokko</v>
      </c>
      <c r="KX25" s="198">
        <f t="shared" si="95"/>
        <v>83</v>
      </c>
      <c r="KY25" s="197" t="str">
        <f t="shared" si="353"/>
        <v>Haïti</v>
      </c>
      <c r="KZ25" s="232"/>
      <c r="LA25" s="232"/>
      <c r="LB25" s="473"/>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4"/>
      <c r="LI25" s="196">
        <f t="shared" si="24"/>
        <v>8</v>
      </c>
      <c r="LJ25" s="197" t="str">
        <f t="shared" si="356"/>
        <v>Marokko</v>
      </c>
      <c r="LK25" s="198">
        <f t="shared" si="98"/>
        <v>83</v>
      </c>
      <c r="LL25" s="197" t="str">
        <f t="shared" si="357"/>
        <v>Haïti</v>
      </c>
      <c r="LM25" s="232"/>
      <c r="LN25" s="232"/>
      <c r="LO25" s="473"/>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4"/>
      <c r="LV25" s="196">
        <f t="shared" si="25"/>
        <v>8</v>
      </c>
      <c r="LW25" s="197" t="str">
        <f t="shared" si="360"/>
        <v>Marokko</v>
      </c>
      <c r="LX25" s="198">
        <f t="shared" si="101"/>
        <v>83</v>
      </c>
      <c r="LY25" s="197" t="str">
        <f t="shared" si="361"/>
        <v>Haïti</v>
      </c>
      <c r="LZ25" s="232"/>
      <c r="MA25" s="232"/>
      <c r="MB25" s="473"/>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4"/>
    </row>
    <row r="26" spans="2:345" ht="24" customHeight="1">
      <c r="B26" s="205" t="str">
        <f>Language!$E$130&amp;" D"</f>
        <v>Groep D</v>
      </c>
      <c r="C26" s="206"/>
      <c r="D26" s="211"/>
      <c r="E26" s="208"/>
      <c r="F26" s="212"/>
      <c r="G26" s="213"/>
      <c r="I26" s="205" t="str">
        <f t="shared" si="0"/>
        <v>Groep D</v>
      </c>
      <c r="J26" s="207"/>
      <c r="K26" s="211"/>
      <c r="L26" s="208"/>
      <c r="M26" s="236"/>
      <c r="N26" s="237"/>
      <c r="O26" s="209"/>
      <c r="P26" s="220"/>
      <c r="Q26" s="220"/>
      <c r="R26" s="208"/>
      <c r="S26" s="208"/>
      <c r="T26" s="221"/>
      <c r="V26" s="205" t="str">
        <f t="shared" si="1"/>
        <v>Groep D</v>
      </c>
      <c r="W26" s="207"/>
      <c r="X26" s="211"/>
      <c r="Y26" s="208"/>
      <c r="Z26" s="236"/>
      <c r="AA26" s="237"/>
      <c r="AB26" s="209"/>
      <c r="AC26" s="220"/>
      <c r="AD26" s="220"/>
      <c r="AE26" s="208"/>
      <c r="AF26" s="208"/>
      <c r="AG26" s="221"/>
      <c r="AI26" s="205" t="str">
        <f t="shared" si="2"/>
        <v>Groep D</v>
      </c>
      <c r="AJ26" s="207"/>
      <c r="AK26" s="211"/>
      <c r="AL26" s="208"/>
      <c r="AM26" s="236"/>
      <c r="AN26" s="237"/>
      <c r="AO26" s="209"/>
      <c r="AP26" s="220"/>
      <c r="AQ26" s="220"/>
      <c r="AR26" s="208"/>
      <c r="AS26" s="208"/>
      <c r="AT26" s="221"/>
      <c r="AV26" s="205" t="str">
        <f t="shared" si="3"/>
        <v>Groep D</v>
      </c>
      <c r="AW26" s="207"/>
      <c r="AX26" s="211"/>
      <c r="AY26" s="208"/>
      <c r="AZ26" s="236"/>
      <c r="BA26" s="237"/>
      <c r="BB26" s="209"/>
      <c r="BC26" s="220"/>
      <c r="BD26" s="220"/>
      <c r="BE26" s="208"/>
      <c r="BF26" s="208"/>
      <c r="BG26" s="221"/>
      <c r="BI26" s="205" t="str">
        <f t="shared" si="4"/>
        <v>Groep D</v>
      </c>
      <c r="BJ26" s="207"/>
      <c r="BK26" s="211"/>
      <c r="BL26" s="208"/>
      <c r="BM26" s="236"/>
      <c r="BN26" s="237"/>
      <c r="BO26" s="209"/>
      <c r="BP26" s="220"/>
      <c r="BQ26" s="220"/>
      <c r="BR26" s="208"/>
      <c r="BS26" s="208"/>
      <c r="BT26" s="221"/>
      <c r="BV26" s="205" t="str">
        <f t="shared" si="5"/>
        <v>Groep D</v>
      </c>
      <c r="BW26" s="207"/>
      <c r="BX26" s="211"/>
      <c r="BY26" s="208"/>
      <c r="BZ26" s="236"/>
      <c r="CA26" s="237"/>
      <c r="CB26" s="209"/>
      <c r="CC26" s="220"/>
      <c r="CD26" s="220"/>
      <c r="CE26" s="208"/>
      <c r="CF26" s="208"/>
      <c r="CG26" s="221"/>
      <c r="CI26" s="205" t="str">
        <f t="shared" si="6"/>
        <v>Groep D</v>
      </c>
      <c r="CJ26" s="207"/>
      <c r="CK26" s="211"/>
      <c r="CL26" s="208"/>
      <c r="CM26" s="236"/>
      <c r="CN26" s="237"/>
      <c r="CO26" s="209"/>
      <c r="CP26" s="220"/>
      <c r="CQ26" s="220"/>
      <c r="CR26" s="208"/>
      <c r="CS26" s="208"/>
      <c r="CT26" s="221"/>
      <c r="CV26" s="205" t="str">
        <f t="shared" si="7"/>
        <v>Groep D</v>
      </c>
      <c r="CW26" s="207"/>
      <c r="CX26" s="211"/>
      <c r="CY26" s="208"/>
      <c r="CZ26" s="236"/>
      <c r="DA26" s="237"/>
      <c r="DB26" s="209"/>
      <c r="DC26" s="220"/>
      <c r="DD26" s="220"/>
      <c r="DE26" s="208"/>
      <c r="DF26" s="208"/>
      <c r="DG26" s="221"/>
      <c r="DI26" s="205" t="str">
        <f t="shared" si="8"/>
        <v>Groep D</v>
      </c>
      <c r="DJ26" s="207"/>
      <c r="DK26" s="211"/>
      <c r="DL26" s="208"/>
      <c r="DM26" s="236"/>
      <c r="DN26" s="237"/>
      <c r="DO26" s="209"/>
      <c r="DP26" s="220"/>
      <c r="DQ26" s="220"/>
      <c r="DR26" s="208"/>
      <c r="DS26" s="208"/>
      <c r="DT26" s="221"/>
      <c r="DV26" s="205" t="str">
        <f t="shared" si="9"/>
        <v>Groep D</v>
      </c>
      <c r="DW26" s="207"/>
      <c r="DX26" s="211"/>
      <c r="DY26" s="208"/>
      <c r="DZ26" s="236"/>
      <c r="EA26" s="237"/>
      <c r="EB26" s="209"/>
      <c r="EC26" s="220"/>
      <c r="ED26" s="220"/>
      <c r="EE26" s="208"/>
      <c r="EF26" s="208"/>
      <c r="EG26" s="221"/>
      <c r="EI26" s="205" t="str">
        <f t="shared" si="10"/>
        <v>Groep D</v>
      </c>
      <c r="EJ26" s="207"/>
      <c r="EK26" s="211"/>
      <c r="EL26" s="208"/>
      <c r="EM26" s="236"/>
      <c r="EN26" s="237"/>
      <c r="EO26" s="209"/>
      <c r="EP26" s="220"/>
      <c r="EQ26" s="220"/>
      <c r="ER26" s="208"/>
      <c r="ES26" s="208"/>
      <c r="ET26" s="221"/>
      <c r="EV26" s="205" t="str">
        <f t="shared" si="11"/>
        <v>Groep D</v>
      </c>
      <c r="EW26" s="207"/>
      <c r="EX26" s="211"/>
      <c r="EY26" s="208"/>
      <c r="EZ26" s="236"/>
      <c r="FA26" s="237"/>
      <c r="FB26" s="209"/>
      <c r="FC26" s="220"/>
      <c r="FD26" s="220"/>
      <c r="FE26" s="208"/>
      <c r="FF26" s="208"/>
      <c r="FG26" s="221"/>
      <c r="FI26" s="205" t="str">
        <f t="shared" si="12"/>
        <v>Groep D</v>
      </c>
      <c r="FJ26" s="207"/>
      <c r="FK26" s="211"/>
      <c r="FL26" s="208"/>
      <c r="FM26" s="236"/>
      <c r="FN26" s="237"/>
      <c r="FO26" s="209"/>
      <c r="FP26" s="220"/>
      <c r="FQ26" s="220"/>
      <c r="FR26" s="208"/>
      <c r="FS26" s="208"/>
      <c r="FT26" s="221"/>
      <c r="FV26" s="205" t="str">
        <f t="shared" si="13"/>
        <v>Groep D</v>
      </c>
      <c r="FW26" s="207"/>
      <c r="FX26" s="211"/>
      <c r="FY26" s="208"/>
      <c r="FZ26" s="236"/>
      <c r="GA26" s="237"/>
      <c r="GB26" s="209"/>
      <c r="GC26" s="220"/>
      <c r="GD26" s="220"/>
      <c r="GE26" s="208"/>
      <c r="GF26" s="208"/>
      <c r="GG26" s="221"/>
      <c r="GI26" s="205" t="str">
        <f t="shared" si="14"/>
        <v>Groep D</v>
      </c>
      <c r="GJ26" s="207"/>
      <c r="GK26" s="211"/>
      <c r="GL26" s="208"/>
      <c r="GM26" s="236"/>
      <c r="GN26" s="237"/>
      <c r="GO26" s="209"/>
      <c r="GP26" s="220"/>
      <c r="GQ26" s="220"/>
      <c r="GR26" s="208"/>
      <c r="GS26" s="208"/>
      <c r="GT26" s="221"/>
      <c r="GV26" s="205" t="str">
        <f t="shared" si="15"/>
        <v>Groep D</v>
      </c>
      <c r="GW26" s="207"/>
      <c r="GX26" s="211"/>
      <c r="GY26" s="208"/>
      <c r="GZ26" s="236"/>
      <c r="HA26" s="237"/>
      <c r="HB26" s="209"/>
      <c r="HC26" s="220"/>
      <c r="HD26" s="220"/>
      <c r="HE26" s="208"/>
      <c r="HF26" s="208"/>
      <c r="HG26" s="221"/>
      <c r="HI26" s="205" t="str">
        <f t="shared" si="16"/>
        <v>Groep D</v>
      </c>
      <c r="HJ26" s="207"/>
      <c r="HK26" s="211"/>
      <c r="HL26" s="208"/>
      <c r="HM26" s="236"/>
      <c r="HN26" s="237"/>
      <c r="HO26" s="209"/>
      <c r="HP26" s="220"/>
      <c r="HQ26" s="220"/>
      <c r="HR26" s="208"/>
      <c r="HS26" s="208"/>
      <c r="HT26" s="221"/>
      <c r="HV26" s="205" t="str">
        <f t="shared" si="17"/>
        <v>Groep D</v>
      </c>
      <c r="HW26" s="207"/>
      <c r="HX26" s="211"/>
      <c r="HY26" s="208"/>
      <c r="HZ26" s="236"/>
      <c r="IA26" s="237"/>
      <c r="IB26" s="209"/>
      <c r="IC26" s="220"/>
      <c r="ID26" s="220"/>
      <c r="IE26" s="208"/>
      <c r="IF26" s="208"/>
      <c r="IG26" s="221"/>
      <c r="II26" s="205" t="str">
        <f t="shared" si="18"/>
        <v>Groep D</v>
      </c>
      <c r="IJ26" s="207"/>
      <c r="IK26" s="211"/>
      <c r="IL26" s="208"/>
      <c r="IM26" s="236"/>
      <c r="IN26" s="237"/>
      <c r="IO26" s="209"/>
      <c r="IP26" s="220"/>
      <c r="IQ26" s="220"/>
      <c r="IR26" s="208"/>
      <c r="IS26" s="208"/>
      <c r="IT26" s="221"/>
      <c r="IV26" s="205" t="str">
        <f t="shared" si="19"/>
        <v>Groep D</v>
      </c>
      <c r="IW26" s="207"/>
      <c r="IX26" s="211"/>
      <c r="IY26" s="208"/>
      <c r="IZ26" s="236"/>
      <c r="JA26" s="237"/>
      <c r="JB26" s="209"/>
      <c r="JC26" s="220"/>
      <c r="JD26" s="220"/>
      <c r="JE26" s="208"/>
      <c r="JF26" s="208"/>
      <c r="JG26" s="221"/>
      <c r="JI26" s="205" t="str">
        <f t="shared" si="20"/>
        <v>Groep D</v>
      </c>
      <c r="JJ26" s="207"/>
      <c r="JK26" s="211"/>
      <c r="JL26" s="208"/>
      <c r="JM26" s="236"/>
      <c r="JN26" s="237"/>
      <c r="JO26" s="209"/>
      <c r="JP26" s="220"/>
      <c r="JQ26" s="220"/>
      <c r="JR26" s="208"/>
      <c r="JS26" s="208"/>
      <c r="JT26" s="221"/>
      <c r="JV26" s="205" t="str">
        <f t="shared" si="21"/>
        <v>Groep D</v>
      </c>
      <c r="JW26" s="207"/>
      <c r="JX26" s="211"/>
      <c r="JY26" s="208"/>
      <c r="JZ26" s="236"/>
      <c r="KA26" s="237"/>
      <c r="KB26" s="209"/>
      <c r="KC26" s="220"/>
      <c r="KD26" s="220"/>
      <c r="KE26" s="208"/>
      <c r="KF26" s="208"/>
      <c r="KG26" s="221"/>
      <c r="KI26" s="205" t="str">
        <f t="shared" si="22"/>
        <v>Groep D</v>
      </c>
      <c r="KJ26" s="207"/>
      <c r="KK26" s="211"/>
      <c r="KL26" s="208"/>
      <c r="KM26" s="236"/>
      <c r="KN26" s="237"/>
      <c r="KO26" s="209"/>
      <c r="KP26" s="220"/>
      <c r="KQ26" s="220"/>
      <c r="KR26" s="208"/>
      <c r="KS26" s="208"/>
      <c r="KT26" s="221"/>
      <c r="KV26" s="205" t="str">
        <f t="shared" si="23"/>
        <v>Groep D</v>
      </c>
      <c r="KW26" s="207"/>
      <c r="KX26" s="211"/>
      <c r="KY26" s="208"/>
      <c r="KZ26" s="236"/>
      <c r="LA26" s="237"/>
      <c r="LB26" s="209"/>
      <c r="LC26" s="220"/>
      <c r="LD26" s="220"/>
      <c r="LE26" s="208"/>
      <c r="LF26" s="208"/>
      <c r="LG26" s="221"/>
      <c r="LI26" s="205" t="str">
        <f t="shared" si="24"/>
        <v>Groep D</v>
      </c>
      <c r="LJ26" s="207"/>
      <c r="LK26" s="211"/>
      <c r="LL26" s="208"/>
      <c r="LM26" s="236"/>
      <c r="LN26" s="237"/>
      <c r="LO26" s="209"/>
      <c r="LP26" s="220"/>
      <c r="LQ26" s="220"/>
      <c r="LR26" s="208"/>
      <c r="LS26" s="208"/>
      <c r="LT26" s="221"/>
      <c r="LV26" s="205" t="str">
        <f t="shared" si="25"/>
        <v>Groep D</v>
      </c>
      <c r="LW26" s="207"/>
      <c r="LX26" s="211"/>
      <c r="LY26" s="208"/>
      <c r="LZ26" s="236"/>
      <c r="MA26" s="237"/>
      <c r="MB26" s="209"/>
      <c r="MC26" s="220"/>
      <c r="MD26" s="220"/>
      <c r="ME26" s="208"/>
      <c r="MF26" s="208"/>
      <c r="MG26" s="221"/>
    </row>
    <row r="27" spans="2:345">
      <c r="B27" s="196">
        <f>INDEX(Groups!$C$7:$C$65,MATCH(C27,Groups!$D$7:$D$65,0))</f>
        <v>16</v>
      </c>
      <c r="C27" s="197" t="str">
        <f>CalcD!$P$22</f>
        <v>USA</v>
      </c>
      <c r="D27" s="198">
        <f>INDEX(Groups!$C$7:$C$65,MATCH(E27,Groups!$D$7:$D$65,0))</f>
        <v>40</v>
      </c>
      <c r="E27" s="197" t="str">
        <f>CalcD!$Q$22</f>
        <v>Paraguay</v>
      </c>
      <c r="F27" s="199" t="str">
        <f>CalcD!$R$22</f>
        <v/>
      </c>
      <c r="G27" s="200" t="str">
        <f>CalcD!$S$22</f>
        <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c r="B28" s="196">
        <f>INDEX(Groups!$C$7:$C$65,MATCH(C28,Groups!$D$7:$D$65,0))</f>
        <v>27</v>
      </c>
      <c r="C28" s="197" t="str">
        <f>CalcD!$P$23</f>
        <v>Australië</v>
      </c>
      <c r="D28" s="198">
        <f>INDEX(Groups!$C$7:$C$65,MATCH(E28,Groups!$D$7:$D$65,0))</f>
        <v>22</v>
      </c>
      <c r="E28" s="197" t="str">
        <f>CalcD!$Q$23</f>
        <v>Turkije</v>
      </c>
      <c r="F28" s="725" t="str">
        <f>CalcD!$R$23</f>
        <v/>
      </c>
      <c r="G28" s="200" t="str">
        <f>CalcD!$S$23</f>
        <v/>
      </c>
      <c r="I28" s="196">
        <f t="shared" si="0"/>
        <v>27</v>
      </c>
      <c r="J28" s="197" t="str">
        <f t="shared" si="364"/>
        <v>Australië</v>
      </c>
      <c r="K28" s="198">
        <f t="shared" si="26"/>
        <v>22</v>
      </c>
      <c r="L28" s="197" t="str">
        <f t="shared" si="365"/>
        <v>Turkije</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Australië</v>
      </c>
      <c r="X28" s="198">
        <f t="shared" si="29"/>
        <v>22</v>
      </c>
      <c r="Y28" s="197" t="str">
        <f t="shared" si="369"/>
        <v>Turkije</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Australië</v>
      </c>
      <c r="AK28" s="198">
        <f t="shared" si="32"/>
        <v>22</v>
      </c>
      <c r="AL28" s="197" t="str">
        <f t="shared" si="373"/>
        <v>Turkije</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Australië</v>
      </c>
      <c r="AX28" s="198">
        <f t="shared" si="35"/>
        <v>22</v>
      </c>
      <c r="AY28" s="197" t="str">
        <f t="shared" si="377"/>
        <v>Turkije</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Australië</v>
      </c>
      <c r="BK28" s="198">
        <f t="shared" si="38"/>
        <v>22</v>
      </c>
      <c r="BL28" s="197" t="str">
        <f t="shared" si="381"/>
        <v>Turkije</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Australië</v>
      </c>
      <c r="BX28" s="198">
        <f t="shared" si="41"/>
        <v>22</v>
      </c>
      <c r="BY28" s="197" t="str">
        <f t="shared" si="385"/>
        <v>Turkije</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Australië</v>
      </c>
      <c r="CK28" s="198">
        <f t="shared" si="44"/>
        <v>22</v>
      </c>
      <c r="CL28" s="197" t="str">
        <f t="shared" si="389"/>
        <v>Turkije</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Australië</v>
      </c>
      <c r="CX28" s="198">
        <f t="shared" si="47"/>
        <v>22</v>
      </c>
      <c r="CY28" s="197" t="str">
        <f t="shared" si="393"/>
        <v>Turkije</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Australië</v>
      </c>
      <c r="DK28" s="198">
        <f t="shared" si="50"/>
        <v>22</v>
      </c>
      <c r="DL28" s="197" t="str">
        <f t="shared" si="397"/>
        <v>Turkije</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Australië</v>
      </c>
      <c r="DX28" s="198">
        <f t="shared" si="53"/>
        <v>22</v>
      </c>
      <c r="DY28" s="197" t="str">
        <f t="shared" si="401"/>
        <v>Turkije</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Australië</v>
      </c>
      <c r="EK28" s="198">
        <f t="shared" si="56"/>
        <v>22</v>
      </c>
      <c r="EL28" s="197" t="str">
        <f t="shared" si="405"/>
        <v>Turkije</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Australië</v>
      </c>
      <c r="EX28" s="198">
        <f t="shared" si="59"/>
        <v>22</v>
      </c>
      <c r="EY28" s="197" t="str">
        <f t="shared" si="409"/>
        <v>Turkije</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Australië</v>
      </c>
      <c r="FK28" s="198">
        <f t="shared" si="62"/>
        <v>22</v>
      </c>
      <c r="FL28" s="197" t="str">
        <f t="shared" si="413"/>
        <v>Turkije</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Australië</v>
      </c>
      <c r="FX28" s="198">
        <f t="shared" si="65"/>
        <v>22</v>
      </c>
      <c r="FY28" s="197" t="str">
        <f t="shared" si="417"/>
        <v>Turkije</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Australië</v>
      </c>
      <c r="GK28" s="198">
        <f t="shared" si="68"/>
        <v>22</v>
      </c>
      <c r="GL28" s="197" t="str">
        <f t="shared" si="421"/>
        <v>Turkije</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Australië</v>
      </c>
      <c r="GX28" s="198">
        <f t="shared" si="71"/>
        <v>22</v>
      </c>
      <c r="GY28" s="197" t="str">
        <f t="shared" si="425"/>
        <v>Turkije</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Australië</v>
      </c>
      <c r="HK28" s="198">
        <f t="shared" si="74"/>
        <v>22</v>
      </c>
      <c r="HL28" s="197" t="str">
        <f t="shared" si="429"/>
        <v>Turkije</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Australië</v>
      </c>
      <c r="HX28" s="198">
        <f t="shared" si="77"/>
        <v>22</v>
      </c>
      <c r="HY28" s="197" t="str">
        <f t="shared" si="433"/>
        <v>Turkije</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Australië</v>
      </c>
      <c r="IK28" s="198">
        <f t="shared" si="80"/>
        <v>22</v>
      </c>
      <c r="IL28" s="197" t="str">
        <f t="shared" si="437"/>
        <v>Turkije</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Australië</v>
      </c>
      <c r="IX28" s="198">
        <f t="shared" si="83"/>
        <v>22</v>
      </c>
      <c r="IY28" s="197" t="str">
        <f t="shared" si="441"/>
        <v>Turkije</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Australië</v>
      </c>
      <c r="JK28" s="198">
        <f t="shared" si="86"/>
        <v>22</v>
      </c>
      <c r="JL28" s="197" t="str">
        <f t="shared" si="445"/>
        <v>Turkije</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Australië</v>
      </c>
      <c r="JX28" s="198">
        <f t="shared" si="89"/>
        <v>22</v>
      </c>
      <c r="JY28" s="197" t="str">
        <f t="shared" si="449"/>
        <v>Turkije</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Australië</v>
      </c>
      <c r="KK28" s="198">
        <f t="shared" si="92"/>
        <v>22</v>
      </c>
      <c r="KL28" s="197" t="str">
        <f t="shared" si="453"/>
        <v>Turkije</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Australië</v>
      </c>
      <c r="KX28" s="198">
        <f t="shared" si="95"/>
        <v>22</v>
      </c>
      <c r="KY28" s="197" t="str">
        <f t="shared" si="457"/>
        <v>Turkije</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Australië</v>
      </c>
      <c r="LK28" s="198">
        <f t="shared" si="98"/>
        <v>22</v>
      </c>
      <c r="LL28" s="197" t="str">
        <f t="shared" si="461"/>
        <v>Turkije</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Australië</v>
      </c>
      <c r="LX28" s="198">
        <f t="shared" si="101"/>
        <v>22</v>
      </c>
      <c r="LY28" s="197" t="str">
        <f t="shared" si="465"/>
        <v>Turkije</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c r="B29" s="196">
        <f>INDEX(Groups!$C$7:$C$65,MATCH(C29,Groups!$D$7:$D$65,0))</f>
        <v>16</v>
      </c>
      <c r="C29" s="197" t="str">
        <f>CalcD!$P$24</f>
        <v>USA</v>
      </c>
      <c r="D29" s="198">
        <f>INDEX(Groups!$C$7:$C$65,MATCH(E29,Groups!$D$7:$D$65,0))</f>
        <v>27</v>
      </c>
      <c r="E29" s="197" t="str">
        <f>CalcD!$Q$24</f>
        <v>Australië</v>
      </c>
      <c r="F29" s="199" t="str">
        <f>CalcD!$R$24</f>
        <v/>
      </c>
      <c r="G29" s="200" t="str">
        <f>CalcD!$S$24</f>
        <v/>
      </c>
      <c r="I29" s="196">
        <f t="shared" si="0"/>
        <v>16</v>
      </c>
      <c r="J29" s="197" t="str">
        <f t="shared" si="364"/>
        <v>USA</v>
      </c>
      <c r="K29" s="198">
        <f t="shared" si="26"/>
        <v>27</v>
      </c>
      <c r="L29" s="197" t="str">
        <f t="shared" si="365"/>
        <v>Australië</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Australië</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Australië</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Australië</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Australië</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Australië</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Australië</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Australië</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Australië</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Australië</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Australië</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Australië</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Australië</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Australië</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Australië</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Australië</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Australië</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Australië</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Australië</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Australië</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Australië</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Australië</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Australië</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Australië</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Australië</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Australië</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c r="B30" s="196">
        <f>INDEX(Groups!$C$7:$C$65,MATCH(C30,Groups!$D$7:$D$65,0))</f>
        <v>22</v>
      </c>
      <c r="C30" s="197" t="str">
        <f>CalcD!$P$25</f>
        <v>Turkije</v>
      </c>
      <c r="D30" s="198">
        <f>INDEX(Groups!$C$7:$C$65,MATCH(E30,Groups!$D$7:$D$65,0))</f>
        <v>40</v>
      </c>
      <c r="E30" s="197" t="str">
        <f>CalcD!$Q$25</f>
        <v>Paraguay</v>
      </c>
      <c r="F30" s="199" t="str">
        <f>CalcD!$R$25</f>
        <v/>
      </c>
      <c r="G30" s="200" t="str">
        <f>CalcD!$S$25</f>
        <v/>
      </c>
      <c r="I30" s="196">
        <f t="shared" si="0"/>
        <v>22</v>
      </c>
      <c r="J30" s="197" t="str">
        <f t="shared" si="364"/>
        <v>Turkije</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Turkije</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Turkije</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Turkije</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Turkije</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Turkije</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Turkije</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Turkije</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Turkije</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Turkije</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Turkije</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Turkije</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Turkije</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Turkije</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Turkije</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Turkije</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Turkije</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Turkije</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Turkije</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Turkije</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Turkije</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Turkije</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Turkije</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Turkije</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Turkije</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Turkije</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c r="B31" s="196">
        <f>INDEX(Groups!$C$7:$C$65,MATCH(C31,Groups!$D$7:$D$65,0))</f>
        <v>22</v>
      </c>
      <c r="C31" s="197" t="str">
        <f>CalcD!$P$26</f>
        <v>Turkije</v>
      </c>
      <c r="D31" s="198">
        <f>INDEX(Groups!$C$7:$C$65,MATCH(E31,Groups!$D$7:$D$65,0))</f>
        <v>16</v>
      </c>
      <c r="E31" s="197" t="str">
        <f>CalcD!$Q$26</f>
        <v>USA</v>
      </c>
      <c r="F31" s="199" t="str">
        <f>CalcD!$R$26</f>
        <v/>
      </c>
      <c r="G31" s="200" t="str">
        <f>CalcD!$S$26</f>
        <v/>
      </c>
      <c r="I31" s="196">
        <f t="shared" si="0"/>
        <v>22</v>
      </c>
      <c r="J31" s="197" t="str">
        <f t="shared" si="364"/>
        <v>Turkije</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Turkije</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Turkije</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Turkije</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Turkije</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Turkije</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Turkije</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Turkije</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Turkije</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Turkije</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Turkije</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Turkije</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Turkije</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Turkije</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Turkije</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Turkije</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Turkije</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Turkije</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Turkije</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Turkije</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Turkije</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Turkije</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Turkije</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Turkije</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Turkije</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Turkije</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c r="B32" s="196">
        <f>INDEX(Groups!$C$7:$C$65,MATCH(C32,Groups!$D$7:$D$65,0))</f>
        <v>40</v>
      </c>
      <c r="C32" s="197" t="str">
        <f>CalcD!$P$27</f>
        <v>Paraguay</v>
      </c>
      <c r="D32" s="198">
        <f>INDEX(Groups!$C$7:$C$65,MATCH(E32,Groups!$D$7:$D$65,0))</f>
        <v>27</v>
      </c>
      <c r="E32" s="197" t="str">
        <f>CalcD!$Q$27</f>
        <v>Australië</v>
      </c>
      <c r="F32" s="199" t="str">
        <f>CalcD!$R$27</f>
        <v/>
      </c>
      <c r="G32" s="200" t="str">
        <f>CalcD!$S$27</f>
        <v/>
      </c>
      <c r="I32" s="196">
        <f t="shared" si="0"/>
        <v>40</v>
      </c>
      <c r="J32" s="197" t="str">
        <f t="shared" si="364"/>
        <v>Paraguay</v>
      </c>
      <c r="K32" s="198">
        <f t="shared" si="26"/>
        <v>27</v>
      </c>
      <c r="L32" s="197" t="str">
        <f t="shared" si="365"/>
        <v>Australië</v>
      </c>
      <c r="M32" s="232"/>
      <c r="N32" s="232"/>
      <c r="O32" s="473"/>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4"/>
      <c r="V32" s="196">
        <f t="shared" si="1"/>
        <v>40</v>
      </c>
      <c r="W32" s="197" t="str">
        <f t="shared" si="368"/>
        <v>Paraguay</v>
      </c>
      <c r="X32" s="198">
        <f t="shared" si="29"/>
        <v>27</v>
      </c>
      <c r="Y32" s="197" t="str">
        <f t="shared" si="369"/>
        <v>Australië</v>
      </c>
      <c r="Z32" s="232"/>
      <c r="AA32" s="232"/>
      <c r="AB32" s="473"/>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4"/>
      <c r="AI32" s="196">
        <f t="shared" si="2"/>
        <v>40</v>
      </c>
      <c r="AJ32" s="197" t="str">
        <f t="shared" si="372"/>
        <v>Paraguay</v>
      </c>
      <c r="AK32" s="198">
        <f t="shared" si="32"/>
        <v>27</v>
      </c>
      <c r="AL32" s="197" t="str">
        <f t="shared" si="373"/>
        <v>Australië</v>
      </c>
      <c r="AM32" s="232"/>
      <c r="AN32" s="232"/>
      <c r="AO32" s="473"/>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4"/>
      <c r="AV32" s="196">
        <f t="shared" si="3"/>
        <v>40</v>
      </c>
      <c r="AW32" s="197" t="str">
        <f t="shared" si="376"/>
        <v>Paraguay</v>
      </c>
      <c r="AX32" s="198">
        <f t="shared" si="35"/>
        <v>27</v>
      </c>
      <c r="AY32" s="197" t="str">
        <f t="shared" si="377"/>
        <v>Australië</v>
      </c>
      <c r="AZ32" s="232"/>
      <c r="BA32" s="232"/>
      <c r="BB32" s="473"/>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4"/>
      <c r="BI32" s="196">
        <f t="shared" si="4"/>
        <v>40</v>
      </c>
      <c r="BJ32" s="197" t="str">
        <f t="shared" si="380"/>
        <v>Paraguay</v>
      </c>
      <c r="BK32" s="198">
        <f t="shared" si="38"/>
        <v>27</v>
      </c>
      <c r="BL32" s="197" t="str">
        <f t="shared" si="381"/>
        <v>Australië</v>
      </c>
      <c r="BM32" s="232"/>
      <c r="BN32" s="232"/>
      <c r="BO32" s="473"/>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4"/>
      <c r="BV32" s="196">
        <f t="shared" si="5"/>
        <v>40</v>
      </c>
      <c r="BW32" s="197" t="str">
        <f t="shared" si="384"/>
        <v>Paraguay</v>
      </c>
      <c r="BX32" s="198">
        <f t="shared" si="41"/>
        <v>27</v>
      </c>
      <c r="BY32" s="197" t="str">
        <f t="shared" si="385"/>
        <v>Australië</v>
      </c>
      <c r="BZ32" s="232"/>
      <c r="CA32" s="232"/>
      <c r="CB32" s="473"/>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4"/>
      <c r="CI32" s="196">
        <f t="shared" si="6"/>
        <v>40</v>
      </c>
      <c r="CJ32" s="197" t="str">
        <f t="shared" si="388"/>
        <v>Paraguay</v>
      </c>
      <c r="CK32" s="198">
        <f t="shared" si="44"/>
        <v>27</v>
      </c>
      <c r="CL32" s="197" t="str">
        <f t="shared" si="389"/>
        <v>Australië</v>
      </c>
      <c r="CM32" s="232"/>
      <c r="CN32" s="232"/>
      <c r="CO32" s="473"/>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4"/>
      <c r="CV32" s="196">
        <f t="shared" si="7"/>
        <v>40</v>
      </c>
      <c r="CW32" s="197" t="str">
        <f t="shared" si="392"/>
        <v>Paraguay</v>
      </c>
      <c r="CX32" s="198">
        <f t="shared" si="47"/>
        <v>27</v>
      </c>
      <c r="CY32" s="197" t="str">
        <f t="shared" si="393"/>
        <v>Australië</v>
      </c>
      <c r="CZ32" s="232"/>
      <c r="DA32" s="232"/>
      <c r="DB32" s="473"/>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4"/>
      <c r="DI32" s="196">
        <f t="shared" si="8"/>
        <v>40</v>
      </c>
      <c r="DJ32" s="197" t="str">
        <f t="shared" si="396"/>
        <v>Paraguay</v>
      </c>
      <c r="DK32" s="198">
        <f t="shared" si="50"/>
        <v>27</v>
      </c>
      <c r="DL32" s="197" t="str">
        <f t="shared" si="397"/>
        <v>Australië</v>
      </c>
      <c r="DM32" s="232"/>
      <c r="DN32" s="232"/>
      <c r="DO32" s="473"/>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4"/>
      <c r="DV32" s="196">
        <f t="shared" si="9"/>
        <v>40</v>
      </c>
      <c r="DW32" s="197" t="str">
        <f t="shared" si="400"/>
        <v>Paraguay</v>
      </c>
      <c r="DX32" s="198">
        <f t="shared" si="53"/>
        <v>27</v>
      </c>
      <c r="DY32" s="197" t="str">
        <f t="shared" si="401"/>
        <v>Australië</v>
      </c>
      <c r="DZ32" s="232"/>
      <c r="EA32" s="232"/>
      <c r="EB32" s="473"/>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4"/>
      <c r="EI32" s="196">
        <f t="shared" si="10"/>
        <v>40</v>
      </c>
      <c r="EJ32" s="197" t="str">
        <f t="shared" si="404"/>
        <v>Paraguay</v>
      </c>
      <c r="EK32" s="198">
        <f t="shared" si="56"/>
        <v>27</v>
      </c>
      <c r="EL32" s="197" t="str">
        <f t="shared" si="405"/>
        <v>Australië</v>
      </c>
      <c r="EM32" s="232"/>
      <c r="EN32" s="232"/>
      <c r="EO32" s="473"/>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4"/>
      <c r="EV32" s="196">
        <f t="shared" si="11"/>
        <v>40</v>
      </c>
      <c r="EW32" s="197" t="str">
        <f t="shared" si="408"/>
        <v>Paraguay</v>
      </c>
      <c r="EX32" s="198">
        <f t="shared" si="59"/>
        <v>27</v>
      </c>
      <c r="EY32" s="197" t="str">
        <f t="shared" si="409"/>
        <v>Australië</v>
      </c>
      <c r="EZ32" s="232"/>
      <c r="FA32" s="232"/>
      <c r="FB32" s="473"/>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4"/>
      <c r="FI32" s="196">
        <f t="shared" si="12"/>
        <v>40</v>
      </c>
      <c r="FJ32" s="197" t="str">
        <f t="shared" si="412"/>
        <v>Paraguay</v>
      </c>
      <c r="FK32" s="198">
        <f t="shared" si="62"/>
        <v>27</v>
      </c>
      <c r="FL32" s="197" t="str">
        <f t="shared" si="413"/>
        <v>Australië</v>
      </c>
      <c r="FM32" s="232"/>
      <c r="FN32" s="232"/>
      <c r="FO32" s="473"/>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4"/>
      <c r="FV32" s="196">
        <f t="shared" si="13"/>
        <v>40</v>
      </c>
      <c r="FW32" s="197" t="str">
        <f t="shared" si="416"/>
        <v>Paraguay</v>
      </c>
      <c r="FX32" s="198">
        <f t="shared" si="65"/>
        <v>27</v>
      </c>
      <c r="FY32" s="197" t="str">
        <f t="shared" si="417"/>
        <v>Australië</v>
      </c>
      <c r="FZ32" s="232"/>
      <c r="GA32" s="232"/>
      <c r="GB32" s="473"/>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4"/>
      <c r="GI32" s="196">
        <f t="shared" si="14"/>
        <v>40</v>
      </c>
      <c r="GJ32" s="197" t="str">
        <f t="shared" si="420"/>
        <v>Paraguay</v>
      </c>
      <c r="GK32" s="198">
        <f t="shared" si="68"/>
        <v>27</v>
      </c>
      <c r="GL32" s="197" t="str">
        <f t="shared" si="421"/>
        <v>Australië</v>
      </c>
      <c r="GM32" s="232"/>
      <c r="GN32" s="232"/>
      <c r="GO32" s="473"/>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4"/>
      <c r="GV32" s="196">
        <f t="shared" si="15"/>
        <v>40</v>
      </c>
      <c r="GW32" s="197" t="str">
        <f t="shared" si="424"/>
        <v>Paraguay</v>
      </c>
      <c r="GX32" s="198">
        <f t="shared" si="71"/>
        <v>27</v>
      </c>
      <c r="GY32" s="197" t="str">
        <f t="shared" si="425"/>
        <v>Australië</v>
      </c>
      <c r="GZ32" s="232"/>
      <c r="HA32" s="232"/>
      <c r="HB32" s="473"/>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4"/>
      <c r="HI32" s="196">
        <f t="shared" si="16"/>
        <v>40</v>
      </c>
      <c r="HJ32" s="197" t="str">
        <f t="shared" si="428"/>
        <v>Paraguay</v>
      </c>
      <c r="HK32" s="198">
        <f t="shared" si="74"/>
        <v>27</v>
      </c>
      <c r="HL32" s="197" t="str">
        <f t="shared" si="429"/>
        <v>Australië</v>
      </c>
      <c r="HM32" s="232"/>
      <c r="HN32" s="232"/>
      <c r="HO32" s="473"/>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4"/>
      <c r="HV32" s="196">
        <f t="shared" si="17"/>
        <v>40</v>
      </c>
      <c r="HW32" s="197" t="str">
        <f t="shared" si="432"/>
        <v>Paraguay</v>
      </c>
      <c r="HX32" s="198">
        <f t="shared" si="77"/>
        <v>27</v>
      </c>
      <c r="HY32" s="197" t="str">
        <f t="shared" si="433"/>
        <v>Australië</v>
      </c>
      <c r="HZ32" s="232"/>
      <c r="IA32" s="232"/>
      <c r="IB32" s="473"/>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4"/>
      <c r="II32" s="196">
        <f t="shared" si="18"/>
        <v>40</v>
      </c>
      <c r="IJ32" s="197" t="str">
        <f t="shared" si="436"/>
        <v>Paraguay</v>
      </c>
      <c r="IK32" s="198">
        <f t="shared" si="80"/>
        <v>27</v>
      </c>
      <c r="IL32" s="197" t="str">
        <f t="shared" si="437"/>
        <v>Australië</v>
      </c>
      <c r="IM32" s="232"/>
      <c r="IN32" s="232"/>
      <c r="IO32" s="473"/>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4"/>
      <c r="IV32" s="196">
        <f t="shared" si="19"/>
        <v>40</v>
      </c>
      <c r="IW32" s="197" t="str">
        <f t="shared" si="440"/>
        <v>Paraguay</v>
      </c>
      <c r="IX32" s="198">
        <f t="shared" si="83"/>
        <v>27</v>
      </c>
      <c r="IY32" s="197" t="str">
        <f t="shared" si="441"/>
        <v>Australië</v>
      </c>
      <c r="IZ32" s="232"/>
      <c r="JA32" s="232"/>
      <c r="JB32" s="473"/>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4"/>
      <c r="JI32" s="196">
        <f t="shared" si="20"/>
        <v>40</v>
      </c>
      <c r="JJ32" s="197" t="str">
        <f t="shared" si="444"/>
        <v>Paraguay</v>
      </c>
      <c r="JK32" s="198">
        <f t="shared" si="86"/>
        <v>27</v>
      </c>
      <c r="JL32" s="197" t="str">
        <f t="shared" si="445"/>
        <v>Australië</v>
      </c>
      <c r="JM32" s="232"/>
      <c r="JN32" s="232"/>
      <c r="JO32" s="473"/>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4"/>
      <c r="JV32" s="196">
        <f t="shared" si="21"/>
        <v>40</v>
      </c>
      <c r="JW32" s="197" t="str">
        <f t="shared" si="448"/>
        <v>Paraguay</v>
      </c>
      <c r="JX32" s="198">
        <f t="shared" si="89"/>
        <v>27</v>
      </c>
      <c r="JY32" s="197" t="str">
        <f t="shared" si="449"/>
        <v>Australië</v>
      </c>
      <c r="JZ32" s="232"/>
      <c r="KA32" s="232"/>
      <c r="KB32" s="473"/>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4"/>
      <c r="KI32" s="196">
        <f t="shared" si="22"/>
        <v>40</v>
      </c>
      <c r="KJ32" s="197" t="str">
        <f t="shared" si="452"/>
        <v>Paraguay</v>
      </c>
      <c r="KK32" s="198">
        <f t="shared" si="92"/>
        <v>27</v>
      </c>
      <c r="KL32" s="197" t="str">
        <f t="shared" si="453"/>
        <v>Australië</v>
      </c>
      <c r="KM32" s="232"/>
      <c r="KN32" s="232"/>
      <c r="KO32" s="473"/>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4"/>
      <c r="KV32" s="196">
        <f t="shared" si="23"/>
        <v>40</v>
      </c>
      <c r="KW32" s="197" t="str">
        <f t="shared" si="456"/>
        <v>Paraguay</v>
      </c>
      <c r="KX32" s="198">
        <f t="shared" si="95"/>
        <v>27</v>
      </c>
      <c r="KY32" s="197" t="str">
        <f t="shared" si="457"/>
        <v>Australië</v>
      </c>
      <c r="KZ32" s="232"/>
      <c r="LA32" s="232"/>
      <c r="LB32" s="473"/>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4"/>
      <c r="LI32" s="196">
        <f t="shared" si="24"/>
        <v>40</v>
      </c>
      <c r="LJ32" s="197" t="str">
        <f t="shared" si="460"/>
        <v>Paraguay</v>
      </c>
      <c r="LK32" s="198">
        <f t="shared" si="98"/>
        <v>27</v>
      </c>
      <c r="LL32" s="197" t="str">
        <f t="shared" si="461"/>
        <v>Australië</v>
      </c>
      <c r="LM32" s="232"/>
      <c r="LN32" s="232"/>
      <c r="LO32" s="473"/>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4"/>
      <c r="LV32" s="196">
        <f t="shared" si="25"/>
        <v>40</v>
      </c>
      <c r="LW32" s="197" t="str">
        <f t="shared" si="464"/>
        <v>Paraguay</v>
      </c>
      <c r="LX32" s="198">
        <f t="shared" si="101"/>
        <v>27</v>
      </c>
      <c r="LY32" s="197" t="str">
        <f t="shared" si="465"/>
        <v>Australië</v>
      </c>
      <c r="LZ32" s="232"/>
      <c r="MA32" s="232"/>
      <c r="MB32" s="473"/>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4"/>
    </row>
    <row r="33" spans="1:345" ht="24" customHeight="1">
      <c r="B33" s="205" t="str">
        <f>Language!$E$130&amp;" E"</f>
        <v>Groep E</v>
      </c>
      <c r="C33" s="206"/>
      <c r="D33" s="211"/>
      <c r="E33" s="208"/>
      <c r="F33" s="212"/>
      <c r="G33" s="213"/>
      <c r="I33" s="205" t="str">
        <f t="shared" si="0"/>
        <v>Groep E</v>
      </c>
      <c r="J33" s="211"/>
      <c r="K33" s="211"/>
      <c r="L33" s="208"/>
      <c r="M33" s="236"/>
      <c r="N33" s="237"/>
      <c r="O33" s="209"/>
      <c r="P33" s="220"/>
      <c r="Q33" s="220"/>
      <c r="R33" s="208"/>
      <c r="S33" s="208"/>
      <c r="T33" s="221"/>
      <c r="V33" s="205" t="str">
        <f t="shared" si="1"/>
        <v>Groep E</v>
      </c>
      <c r="W33" s="211"/>
      <c r="X33" s="211"/>
      <c r="Y33" s="208"/>
      <c r="Z33" s="236"/>
      <c r="AA33" s="237"/>
      <c r="AB33" s="209"/>
      <c r="AC33" s="220"/>
      <c r="AD33" s="220"/>
      <c r="AE33" s="208"/>
      <c r="AF33" s="208"/>
      <c r="AG33" s="221"/>
      <c r="AI33" s="205" t="str">
        <f t="shared" si="2"/>
        <v>Groep E</v>
      </c>
      <c r="AJ33" s="211"/>
      <c r="AK33" s="211"/>
      <c r="AL33" s="208"/>
      <c r="AM33" s="236"/>
      <c r="AN33" s="237"/>
      <c r="AO33" s="209"/>
      <c r="AP33" s="220"/>
      <c r="AQ33" s="220"/>
      <c r="AR33" s="208"/>
      <c r="AS33" s="208"/>
      <c r="AT33" s="221"/>
      <c r="AV33" s="205" t="str">
        <f t="shared" si="3"/>
        <v>Groep E</v>
      </c>
      <c r="AW33" s="211"/>
      <c r="AX33" s="211"/>
      <c r="AY33" s="208"/>
      <c r="AZ33" s="236"/>
      <c r="BA33" s="237"/>
      <c r="BB33" s="209"/>
      <c r="BC33" s="220"/>
      <c r="BD33" s="220"/>
      <c r="BE33" s="208"/>
      <c r="BF33" s="208"/>
      <c r="BG33" s="221"/>
      <c r="BI33" s="205" t="str">
        <f t="shared" si="4"/>
        <v>Groep E</v>
      </c>
      <c r="BJ33" s="211"/>
      <c r="BK33" s="211"/>
      <c r="BL33" s="208"/>
      <c r="BM33" s="236"/>
      <c r="BN33" s="237"/>
      <c r="BO33" s="209"/>
      <c r="BP33" s="220"/>
      <c r="BQ33" s="220"/>
      <c r="BR33" s="208"/>
      <c r="BS33" s="208"/>
      <c r="BT33" s="221"/>
      <c r="BV33" s="205" t="str">
        <f t="shared" si="5"/>
        <v>Groep E</v>
      </c>
      <c r="BW33" s="211"/>
      <c r="BX33" s="211"/>
      <c r="BY33" s="208"/>
      <c r="BZ33" s="236"/>
      <c r="CA33" s="237"/>
      <c r="CB33" s="209"/>
      <c r="CC33" s="220"/>
      <c r="CD33" s="220"/>
      <c r="CE33" s="208"/>
      <c r="CF33" s="208"/>
      <c r="CG33" s="221"/>
      <c r="CI33" s="205" t="str">
        <f t="shared" si="6"/>
        <v>Groep E</v>
      </c>
      <c r="CJ33" s="211"/>
      <c r="CK33" s="211"/>
      <c r="CL33" s="208"/>
      <c r="CM33" s="236"/>
      <c r="CN33" s="237"/>
      <c r="CO33" s="209"/>
      <c r="CP33" s="220"/>
      <c r="CQ33" s="220"/>
      <c r="CR33" s="208"/>
      <c r="CS33" s="208"/>
      <c r="CT33" s="221"/>
      <c r="CV33" s="205" t="str">
        <f t="shared" si="7"/>
        <v>Groep E</v>
      </c>
      <c r="CW33" s="211"/>
      <c r="CX33" s="211"/>
      <c r="CY33" s="208"/>
      <c r="CZ33" s="236"/>
      <c r="DA33" s="237"/>
      <c r="DB33" s="209"/>
      <c r="DC33" s="220"/>
      <c r="DD33" s="220"/>
      <c r="DE33" s="208"/>
      <c r="DF33" s="208"/>
      <c r="DG33" s="221"/>
      <c r="DI33" s="205" t="str">
        <f t="shared" si="8"/>
        <v>Groep E</v>
      </c>
      <c r="DJ33" s="211"/>
      <c r="DK33" s="211"/>
      <c r="DL33" s="208"/>
      <c r="DM33" s="236"/>
      <c r="DN33" s="237"/>
      <c r="DO33" s="209"/>
      <c r="DP33" s="220"/>
      <c r="DQ33" s="220"/>
      <c r="DR33" s="208"/>
      <c r="DS33" s="208"/>
      <c r="DT33" s="221"/>
      <c r="DV33" s="205" t="str">
        <f t="shared" si="9"/>
        <v>Groep E</v>
      </c>
      <c r="DW33" s="211"/>
      <c r="DX33" s="211"/>
      <c r="DY33" s="208"/>
      <c r="DZ33" s="236"/>
      <c r="EA33" s="237"/>
      <c r="EB33" s="209"/>
      <c r="EC33" s="220"/>
      <c r="ED33" s="220"/>
      <c r="EE33" s="208"/>
      <c r="EF33" s="208"/>
      <c r="EG33" s="221"/>
      <c r="EI33" s="205" t="str">
        <f t="shared" si="10"/>
        <v>Groep E</v>
      </c>
      <c r="EJ33" s="211"/>
      <c r="EK33" s="211"/>
      <c r="EL33" s="208"/>
      <c r="EM33" s="236"/>
      <c r="EN33" s="237"/>
      <c r="EO33" s="209"/>
      <c r="EP33" s="220"/>
      <c r="EQ33" s="220"/>
      <c r="ER33" s="208"/>
      <c r="ES33" s="208"/>
      <c r="ET33" s="221"/>
      <c r="EV33" s="205" t="str">
        <f t="shared" si="11"/>
        <v>Groep E</v>
      </c>
      <c r="EW33" s="211"/>
      <c r="EX33" s="211"/>
      <c r="EY33" s="208"/>
      <c r="EZ33" s="236"/>
      <c r="FA33" s="237"/>
      <c r="FB33" s="209"/>
      <c r="FC33" s="220"/>
      <c r="FD33" s="220"/>
      <c r="FE33" s="208"/>
      <c r="FF33" s="208"/>
      <c r="FG33" s="221"/>
      <c r="FI33" s="205" t="str">
        <f t="shared" si="12"/>
        <v>Groep E</v>
      </c>
      <c r="FJ33" s="211"/>
      <c r="FK33" s="211"/>
      <c r="FL33" s="208"/>
      <c r="FM33" s="236"/>
      <c r="FN33" s="237"/>
      <c r="FO33" s="209"/>
      <c r="FP33" s="220"/>
      <c r="FQ33" s="220"/>
      <c r="FR33" s="208"/>
      <c r="FS33" s="208"/>
      <c r="FT33" s="221"/>
      <c r="FV33" s="205" t="str">
        <f t="shared" si="13"/>
        <v>Groep E</v>
      </c>
      <c r="FW33" s="211"/>
      <c r="FX33" s="211"/>
      <c r="FY33" s="208"/>
      <c r="FZ33" s="236"/>
      <c r="GA33" s="237"/>
      <c r="GB33" s="209"/>
      <c r="GC33" s="220"/>
      <c r="GD33" s="220"/>
      <c r="GE33" s="208"/>
      <c r="GF33" s="208"/>
      <c r="GG33" s="221"/>
      <c r="GI33" s="205" t="str">
        <f t="shared" si="14"/>
        <v>Groep E</v>
      </c>
      <c r="GJ33" s="211"/>
      <c r="GK33" s="211"/>
      <c r="GL33" s="208"/>
      <c r="GM33" s="236"/>
      <c r="GN33" s="237"/>
      <c r="GO33" s="209"/>
      <c r="GP33" s="220"/>
      <c r="GQ33" s="220"/>
      <c r="GR33" s="208"/>
      <c r="GS33" s="208"/>
      <c r="GT33" s="221"/>
      <c r="GV33" s="205" t="str">
        <f t="shared" si="15"/>
        <v>Groep E</v>
      </c>
      <c r="GW33" s="211"/>
      <c r="GX33" s="211"/>
      <c r="GY33" s="208"/>
      <c r="GZ33" s="236"/>
      <c r="HA33" s="237"/>
      <c r="HB33" s="209"/>
      <c r="HC33" s="220"/>
      <c r="HD33" s="220"/>
      <c r="HE33" s="208"/>
      <c r="HF33" s="208"/>
      <c r="HG33" s="221"/>
      <c r="HI33" s="205" t="str">
        <f t="shared" si="16"/>
        <v>Groep E</v>
      </c>
      <c r="HJ33" s="211"/>
      <c r="HK33" s="211"/>
      <c r="HL33" s="208"/>
      <c r="HM33" s="236"/>
      <c r="HN33" s="237"/>
      <c r="HO33" s="209"/>
      <c r="HP33" s="220"/>
      <c r="HQ33" s="220"/>
      <c r="HR33" s="208"/>
      <c r="HS33" s="208"/>
      <c r="HT33" s="221"/>
      <c r="HV33" s="205" t="str">
        <f t="shared" si="17"/>
        <v>Groep E</v>
      </c>
      <c r="HW33" s="211"/>
      <c r="HX33" s="211"/>
      <c r="HY33" s="208"/>
      <c r="HZ33" s="236"/>
      <c r="IA33" s="237"/>
      <c r="IB33" s="209"/>
      <c r="IC33" s="220"/>
      <c r="ID33" s="220"/>
      <c r="IE33" s="208"/>
      <c r="IF33" s="208"/>
      <c r="IG33" s="221"/>
      <c r="II33" s="205" t="str">
        <f t="shared" si="18"/>
        <v>Groep E</v>
      </c>
      <c r="IJ33" s="211"/>
      <c r="IK33" s="211"/>
      <c r="IL33" s="208"/>
      <c r="IM33" s="236"/>
      <c r="IN33" s="237"/>
      <c r="IO33" s="209"/>
      <c r="IP33" s="220"/>
      <c r="IQ33" s="220"/>
      <c r="IR33" s="208"/>
      <c r="IS33" s="208"/>
      <c r="IT33" s="221"/>
      <c r="IV33" s="205" t="str">
        <f t="shared" si="19"/>
        <v>Groep E</v>
      </c>
      <c r="IW33" s="211"/>
      <c r="IX33" s="211"/>
      <c r="IY33" s="208"/>
      <c r="IZ33" s="236"/>
      <c r="JA33" s="237"/>
      <c r="JB33" s="209"/>
      <c r="JC33" s="220"/>
      <c r="JD33" s="220"/>
      <c r="JE33" s="208"/>
      <c r="JF33" s="208"/>
      <c r="JG33" s="221"/>
      <c r="JI33" s="205" t="str">
        <f t="shared" si="20"/>
        <v>Groep E</v>
      </c>
      <c r="JJ33" s="211"/>
      <c r="JK33" s="211"/>
      <c r="JL33" s="208"/>
      <c r="JM33" s="236"/>
      <c r="JN33" s="237"/>
      <c r="JO33" s="209"/>
      <c r="JP33" s="220"/>
      <c r="JQ33" s="220"/>
      <c r="JR33" s="208"/>
      <c r="JS33" s="208"/>
      <c r="JT33" s="221"/>
      <c r="JV33" s="205" t="str">
        <f t="shared" si="21"/>
        <v>Groep E</v>
      </c>
      <c r="JW33" s="211"/>
      <c r="JX33" s="211"/>
      <c r="JY33" s="208"/>
      <c r="JZ33" s="236"/>
      <c r="KA33" s="237"/>
      <c r="KB33" s="209"/>
      <c r="KC33" s="220"/>
      <c r="KD33" s="220"/>
      <c r="KE33" s="208"/>
      <c r="KF33" s="208"/>
      <c r="KG33" s="221"/>
      <c r="KI33" s="205" t="str">
        <f t="shared" si="22"/>
        <v>Groep E</v>
      </c>
      <c r="KJ33" s="211"/>
      <c r="KK33" s="211"/>
      <c r="KL33" s="208"/>
      <c r="KM33" s="236"/>
      <c r="KN33" s="237"/>
      <c r="KO33" s="209"/>
      <c r="KP33" s="220"/>
      <c r="KQ33" s="220"/>
      <c r="KR33" s="208"/>
      <c r="KS33" s="208"/>
      <c r="KT33" s="221"/>
      <c r="KV33" s="205" t="str">
        <f t="shared" si="23"/>
        <v>Groep E</v>
      </c>
      <c r="KW33" s="211"/>
      <c r="KX33" s="211"/>
      <c r="KY33" s="208"/>
      <c r="KZ33" s="236"/>
      <c r="LA33" s="237"/>
      <c r="LB33" s="209"/>
      <c r="LC33" s="220"/>
      <c r="LD33" s="220"/>
      <c r="LE33" s="208"/>
      <c r="LF33" s="208"/>
      <c r="LG33" s="221"/>
      <c r="LI33" s="205" t="str">
        <f t="shared" si="24"/>
        <v>Groep E</v>
      </c>
      <c r="LJ33" s="211"/>
      <c r="LK33" s="211"/>
      <c r="LL33" s="208"/>
      <c r="LM33" s="236"/>
      <c r="LN33" s="237"/>
      <c r="LO33" s="209"/>
      <c r="LP33" s="220"/>
      <c r="LQ33" s="220"/>
      <c r="LR33" s="208"/>
      <c r="LS33" s="208"/>
      <c r="LT33" s="221"/>
      <c r="LV33" s="205" t="str">
        <f t="shared" si="25"/>
        <v>Groep E</v>
      </c>
      <c r="LW33" s="211"/>
      <c r="LX33" s="211"/>
      <c r="LY33" s="208"/>
      <c r="LZ33" s="236"/>
      <c r="MA33" s="237"/>
      <c r="MB33" s="209"/>
      <c r="MC33" s="220"/>
      <c r="MD33" s="220"/>
      <c r="ME33" s="208"/>
      <c r="MF33" s="208"/>
      <c r="MG33" s="221"/>
    </row>
    <row r="34" spans="1:345">
      <c r="B34" s="196">
        <f>INDEX(Groups!$C$7:$C$65,MATCH(C34,Groups!$D$7:$D$65,0))</f>
        <v>10</v>
      </c>
      <c r="C34" s="197" t="str">
        <f>CalcE!$P$22</f>
        <v>Duitsland</v>
      </c>
      <c r="D34" s="198">
        <f>INDEX(Groups!$C$7:$C$65,MATCH(E34,Groups!$D$7:$D$65,0))</f>
        <v>82</v>
      </c>
      <c r="E34" s="197" t="str">
        <f>CalcE!$Q$22</f>
        <v>Curacao</v>
      </c>
      <c r="F34" s="199" t="str">
        <f>CalcE!$R$22</f>
        <v/>
      </c>
      <c r="G34" s="200" t="str">
        <f>CalcE!$S$22</f>
        <v/>
      </c>
      <c r="I34" s="196">
        <f t="shared" si="0"/>
        <v>10</v>
      </c>
      <c r="J34" s="197" t="str">
        <f t="shared" ref="J34:J39" si="468">$C34</f>
        <v>Duitsland</v>
      </c>
      <c r="K34" s="198">
        <f t="shared" si="26"/>
        <v>82</v>
      </c>
      <c r="L34" s="197" t="str">
        <f t="shared" ref="L34:L39" si="469">$E34</f>
        <v>Curacao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Duitsland</v>
      </c>
      <c r="X34" s="198">
        <f t="shared" si="29"/>
        <v>82</v>
      </c>
      <c r="Y34" s="197" t="str">
        <f t="shared" ref="Y34:Y39" si="473">$E34</f>
        <v>Curacao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Duitsland</v>
      </c>
      <c r="AK34" s="198">
        <f t="shared" si="32"/>
        <v>82</v>
      </c>
      <c r="AL34" s="197" t="str">
        <f t="shared" ref="AL34:AL39" si="477">$E34</f>
        <v>Curacao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Duitsland</v>
      </c>
      <c r="AX34" s="198">
        <f t="shared" si="35"/>
        <v>82</v>
      </c>
      <c r="AY34" s="197" t="str">
        <f t="shared" ref="AY34:AY39" si="481">$E34</f>
        <v>Curacao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Duitsland</v>
      </c>
      <c r="BK34" s="198">
        <f t="shared" si="38"/>
        <v>82</v>
      </c>
      <c r="BL34" s="197" t="str">
        <f t="shared" ref="BL34:BL39" si="485">$E34</f>
        <v>Curacao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Duitsland</v>
      </c>
      <c r="BX34" s="198">
        <f t="shared" si="41"/>
        <v>82</v>
      </c>
      <c r="BY34" s="197" t="str">
        <f t="shared" ref="BY34:BY39" si="489">$E34</f>
        <v>Curacao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Duitsland</v>
      </c>
      <c r="CK34" s="198">
        <f t="shared" si="44"/>
        <v>82</v>
      </c>
      <c r="CL34" s="197" t="str">
        <f t="shared" ref="CL34:CL39" si="493">$E34</f>
        <v>Curacao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Duitsland</v>
      </c>
      <c r="CX34" s="198">
        <f t="shared" si="47"/>
        <v>82</v>
      </c>
      <c r="CY34" s="197" t="str">
        <f t="shared" ref="CY34:CY39" si="497">$E34</f>
        <v>Curacao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Duitsland</v>
      </c>
      <c r="DK34" s="198">
        <f t="shared" si="50"/>
        <v>82</v>
      </c>
      <c r="DL34" s="197" t="str">
        <f t="shared" ref="DL34:DL39" si="501">$E34</f>
        <v>Curacao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Duitsland</v>
      </c>
      <c r="DX34" s="198">
        <f t="shared" si="53"/>
        <v>82</v>
      </c>
      <c r="DY34" s="197" t="str">
        <f t="shared" ref="DY34:DY39" si="505">$E34</f>
        <v>Curacao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Duitsland</v>
      </c>
      <c r="EK34" s="198">
        <f t="shared" si="56"/>
        <v>82</v>
      </c>
      <c r="EL34" s="197" t="str">
        <f t="shared" ref="EL34:EL39" si="509">$E34</f>
        <v>Curacao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Duitsland</v>
      </c>
      <c r="EX34" s="198">
        <f t="shared" si="59"/>
        <v>82</v>
      </c>
      <c r="EY34" s="197" t="str">
        <f t="shared" ref="EY34:EY39" si="513">$E34</f>
        <v>Curacao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Duitsland</v>
      </c>
      <c r="FK34" s="198">
        <f t="shared" si="62"/>
        <v>82</v>
      </c>
      <c r="FL34" s="197" t="str">
        <f t="shared" ref="FL34:FL39" si="517">$E34</f>
        <v>Curacao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Duitsland</v>
      </c>
      <c r="FX34" s="198">
        <f t="shared" si="65"/>
        <v>82</v>
      </c>
      <c r="FY34" s="197" t="str">
        <f t="shared" ref="FY34:FY39" si="521">$E34</f>
        <v>Curacao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Duitsland</v>
      </c>
      <c r="GK34" s="198">
        <f t="shared" si="68"/>
        <v>82</v>
      </c>
      <c r="GL34" s="197" t="str">
        <f t="shared" ref="GL34:GL39" si="525">$E34</f>
        <v>Curacao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Duitsland</v>
      </c>
      <c r="GX34" s="198">
        <f t="shared" si="71"/>
        <v>82</v>
      </c>
      <c r="GY34" s="197" t="str">
        <f t="shared" ref="GY34:GY39" si="529">$E34</f>
        <v>Curacao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Duitsland</v>
      </c>
      <c r="HK34" s="198">
        <f t="shared" si="74"/>
        <v>82</v>
      </c>
      <c r="HL34" s="197" t="str">
        <f t="shared" ref="HL34:HL39" si="533">$E34</f>
        <v>Curacao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Duitsland</v>
      </c>
      <c r="HX34" s="198">
        <f t="shared" si="77"/>
        <v>82</v>
      </c>
      <c r="HY34" s="197" t="str">
        <f t="shared" ref="HY34:HY39" si="537">$E34</f>
        <v>Curacao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Duitsland</v>
      </c>
      <c r="IK34" s="198">
        <f t="shared" si="80"/>
        <v>82</v>
      </c>
      <c r="IL34" s="197" t="str">
        <f t="shared" ref="IL34:IL39" si="541">$E34</f>
        <v>Curacao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Duitsland</v>
      </c>
      <c r="IX34" s="198">
        <f t="shared" si="83"/>
        <v>82</v>
      </c>
      <c r="IY34" s="197" t="str">
        <f t="shared" ref="IY34:IY39" si="545">$E34</f>
        <v>Curacao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Duitsland</v>
      </c>
      <c r="JK34" s="198">
        <f t="shared" si="86"/>
        <v>82</v>
      </c>
      <c r="JL34" s="197" t="str">
        <f t="shared" ref="JL34:JL39" si="549">$E34</f>
        <v>Curacao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Duitsland</v>
      </c>
      <c r="JX34" s="198">
        <f t="shared" si="89"/>
        <v>82</v>
      </c>
      <c r="JY34" s="197" t="str">
        <f t="shared" ref="JY34:JY39" si="553">$E34</f>
        <v>Curacao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Duitsland</v>
      </c>
      <c r="KK34" s="198">
        <f t="shared" si="92"/>
        <v>82</v>
      </c>
      <c r="KL34" s="197" t="str">
        <f t="shared" ref="KL34:KL39" si="557">$E34</f>
        <v>Curacao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Duitsland</v>
      </c>
      <c r="KX34" s="198">
        <f t="shared" si="95"/>
        <v>82</v>
      </c>
      <c r="KY34" s="197" t="str">
        <f t="shared" ref="KY34:KY39" si="561">$E34</f>
        <v>Curacao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Duitsland</v>
      </c>
      <c r="LK34" s="198">
        <f t="shared" si="98"/>
        <v>82</v>
      </c>
      <c r="LL34" s="197" t="str">
        <f t="shared" ref="LL34:LL39" si="565">$E34</f>
        <v>Curacao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Duitsland</v>
      </c>
      <c r="LX34" s="198">
        <f t="shared" si="101"/>
        <v>82</v>
      </c>
      <c r="LY34" s="197" t="str">
        <f t="shared" ref="LY34:LY39" si="569">$E34</f>
        <v>Curacao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c r="B35" s="196">
        <f>INDEX(Groups!$C$7:$C$65,MATCH(C35,Groups!$D$7:$D$65,0))</f>
        <v>34</v>
      </c>
      <c r="C35" s="197" t="str">
        <f>CalcE!$P$23</f>
        <v>Ivoorkust</v>
      </c>
      <c r="D35" s="198">
        <f>INDEX(Groups!$C$7:$C$65,MATCH(E35,Groups!$D$7:$D$65,0))</f>
        <v>23</v>
      </c>
      <c r="E35" s="197" t="str">
        <f>CalcE!$Q$23</f>
        <v>Ecuador</v>
      </c>
      <c r="F35" s="725" t="str">
        <f>CalcE!$R$23</f>
        <v/>
      </c>
      <c r="G35" s="200" t="str">
        <f>CalcE!$S$23</f>
        <v/>
      </c>
      <c r="I35" s="196">
        <f t="shared" si="0"/>
        <v>34</v>
      </c>
      <c r="J35" s="197" t="str">
        <f t="shared" si="468"/>
        <v>Ivoorkust</v>
      </c>
      <c r="K35" s="198">
        <f t="shared" si="26"/>
        <v>23</v>
      </c>
      <c r="L35" s="197" t="str">
        <f t="shared" si="469"/>
        <v>Ecuador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Ivoorkust</v>
      </c>
      <c r="X35" s="198">
        <f t="shared" si="29"/>
        <v>23</v>
      </c>
      <c r="Y35" s="197" t="str">
        <f t="shared" si="473"/>
        <v>Ecuador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Ivoorkust</v>
      </c>
      <c r="AK35" s="198">
        <f t="shared" si="32"/>
        <v>23</v>
      </c>
      <c r="AL35" s="197" t="str">
        <f t="shared" si="477"/>
        <v>Ecuador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Ivoorkust</v>
      </c>
      <c r="AX35" s="198">
        <f t="shared" si="35"/>
        <v>23</v>
      </c>
      <c r="AY35" s="197" t="str">
        <f t="shared" si="481"/>
        <v>Ecuador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Ivoorkust</v>
      </c>
      <c r="BK35" s="198">
        <f t="shared" si="38"/>
        <v>23</v>
      </c>
      <c r="BL35" s="197" t="str">
        <f t="shared" si="485"/>
        <v>Ecuador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Ivoorkust</v>
      </c>
      <c r="BX35" s="198">
        <f t="shared" si="41"/>
        <v>23</v>
      </c>
      <c r="BY35" s="197" t="str">
        <f t="shared" si="489"/>
        <v>Ecuador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Ivoorkust</v>
      </c>
      <c r="CK35" s="198">
        <f t="shared" si="44"/>
        <v>23</v>
      </c>
      <c r="CL35" s="197" t="str">
        <f t="shared" si="493"/>
        <v>Ecuador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Ivoorkust</v>
      </c>
      <c r="CX35" s="198">
        <f t="shared" si="47"/>
        <v>23</v>
      </c>
      <c r="CY35" s="197" t="str">
        <f t="shared" si="497"/>
        <v>Ecuador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Ivoorkust</v>
      </c>
      <c r="DK35" s="198">
        <f t="shared" si="50"/>
        <v>23</v>
      </c>
      <c r="DL35" s="197" t="str">
        <f t="shared" si="501"/>
        <v>Ecuador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Ivoorkust</v>
      </c>
      <c r="DX35" s="198">
        <f t="shared" si="53"/>
        <v>23</v>
      </c>
      <c r="DY35" s="197" t="str">
        <f t="shared" si="505"/>
        <v>Ecuador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Ivoorkust</v>
      </c>
      <c r="EK35" s="198">
        <f t="shared" si="56"/>
        <v>23</v>
      </c>
      <c r="EL35" s="197" t="str">
        <f t="shared" si="509"/>
        <v>Ecuador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Ivoorkust</v>
      </c>
      <c r="EX35" s="198">
        <f t="shared" si="59"/>
        <v>23</v>
      </c>
      <c r="EY35" s="197" t="str">
        <f t="shared" si="513"/>
        <v>Ecuador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Ivoorkust</v>
      </c>
      <c r="FK35" s="198">
        <f t="shared" si="62"/>
        <v>23</v>
      </c>
      <c r="FL35" s="197" t="str">
        <f t="shared" si="517"/>
        <v>Ecuador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Ivoorkust</v>
      </c>
      <c r="FX35" s="198">
        <f t="shared" si="65"/>
        <v>23</v>
      </c>
      <c r="FY35" s="197" t="str">
        <f t="shared" si="521"/>
        <v>Ecuador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Ivoorkust</v>
      </c>
      <c r="GK35" s="198">
        <f t="shared" si="68"/>
        <v>23</v>
      </c>
      <c r="GL35" s="197" t="str">
        <f t="shared" si="525"/>
        <v>Ecuador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Ivoorkust</v>
      </c>
      <c r="GX35" s="198">
        <f t="shared" si="71"/>
        <v>23</v>
      </c>
      <c r="GY35" s="197" t="str">
        <f t="shared" si="529"/>
        <v>Ecuador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Ivoorkust</v>
      </c>
      <c r="HK35" s="198">
        <f t="shared" si="74"/>
        <v>23</v>
      </c>
      <c r="HL35" s="197" t="str">
        <f t="shared" si="533"/>
        <v>Ecuador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Ivoorkust</v>
      </c>
      <c r="HX35" s="198">
        <f t="shared" si="77"/>
        <v>23</v>
      </c>
      <c r="HY35" s="197" t="str">
        <f t="shared" si="537"/>
        <v>Ecuador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Ivoorkust</v>
      </c>
      <c r="IK35" s="198">
        <f t="shared" si="80"/>
        <v>23</v>
      </c>
      <c r="IL35" s="197" t="str">
        <f t="shared" si="541"/>
        <v>Ecuador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Ivoorkust</v>
      </c>
      <c r="IX35" s="198">
        <f t="shared" si="83"/>
        <v>23</v>
      </c>
      <c r="IY35" s="197" t="str">
        <f t="shared" si="545"/>
        <v>Ecuador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Ivoorkust</v>
      </c>
      <c r="JK35" s="198">
        <f t="shared" si="86"/>
        <v>23</v>
      </c>
      <c r="JL35" s="197" t="str">
        <f t="shared" si="549"/>
        <v>Ecuador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Ivoorkust</v>
      </c>
      <c r="JX35" s="198">
        <f t="shared" si="89"/>
        <v>23</v>
      </c>
      <c r="JY35" s="197" t="str">
        <f t="shared" si="553"/>
        <v>Ecuador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Ivoorkust</v>
      </c>
      <c r="KK35" s="198">
        <f t="shared" si="92"/>
        <v>23</v>
      </c>
      <c r="KL35" s="197" t="str">
        <f t="shared" si="557"/>
        <v>Ecuador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Ivoorkust</v>
      </c>
      <c r="KX35" s="198">
        <f t="shared" si="95"/>
        <v>23</v>
      </c>
      <c r="KY35" s="197" t="str">
        <f t="shared" si="561"/>
        <v>Ecuador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Ivoorkust</v>
      </c>
      <c r="LK35" s="198">
        <f t="shared" si="98"/>
        <v>23</v>
      </c>
      <c r="LL35" s="197" t="str">
        <f t="shared" si="565"/>
        <v>Ecuador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Ivoorkust</v>
      </c>
      <c r="LX35" s="198">
        <f t="shared" si="101"/>
        <v>23</v>
      </c>
      <c r="LY35" s="197" t="str">
        <f t="shared" si="569"/>
        <v>Ecuador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c r="B36" s="196">
        <f>INDEX(Groups!$C$7:$C$65,MATCH(C36,Groups!$D$7:$D$65,0))</f>
        <v>10</v>
      </c>
      <c r="C36" s="197" t="str">
        <f>CalcE!$P$24</f>
        <v>Duitsland</v>
      </c>
      <c r="D36" s="198">
        <f>INDEX(Groups!$C$7:$C$65,MATCH(E36,Groups!$D$7:$D$65,0))</f>
        <v>34</v>
      </c>
      <c r="E36" s="197" t="str">
        <f>CalcE!$Q$24</f>
        <v>Ivoorkust</v>
      </c>
      <c r="F36" s="199" t="str">
        <f>CalcE!$R$24</f>
        <v/>
      </c>
      <c r="G36" s="200" t="str">
        <f>CalcE!$S$24</f>
        <v/>
      </c>
      <c r="I36" s="196">
        <f t="shared" si="0"/>
        <v>10</v>
      </c>
      <c r="J36" s="197" t="str">
        <f t="shared" si="468"/>
        <v>Duitsland</v>
      </c>
      <c r="K36" s="198">
        <f t="shared" si="26"/>
        <v>34</v>
      </c>
      <c r="L36" s="197" t="str">
        <f t="shared" si="469"/>
        <v>Ivoorkust</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Duitsland</v>
      </c>
      <c r="X36" s="198">
        <f t="shared" si="29"/>
        <v>34</v>
      </c>
      <c r="Y36" s="197" t="str">
        <f t="shared" si="473"/>
        <v>Ivoorkust</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Duitsland</v>
      </c>
      <c r="AK36" s="198">
        <f t="shared" si="32"/>
        <v>34</v>
      </c>
      <c r="AL36" s="197" t="str">
        <f t="shared" si="477"/>
        <v>Ivoorkust</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Duitsland</v>
      </c>
      <c r="AX36" s="198">
        <f t="shared" si="35"/>
        <v>34</v>
      </c>
      <c r="AY36" s="197" t="str">
        <f t="shared" si="481"/>
        <v>Ivoorkust</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Duitsland</v>
      </c>
      <c r="BK36" s="198">
        <f t="shared" si="38"/>
        <v>34</v>
      </c>
      <c r="BL36" s="197" t="str">
        <f t="shared" si="485"/>
        <v>Ivoorkust</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Duitsland</v>
      </c>
      <c r="BX36" s="198">
        <f t="shared" si="41"/>
        <v>34</v>
      </c>
      <c r="BY36" s="197" t="str">
        <f t="shared" si="489"/>
        <v>Ivoorkust</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Duitsland</v>
      </c>
      <c r="CK36" s="198">
        <f t="shared" si="44"/>
        <v>34</v>
      </c>
      <c r="CL36" s="197" t="str">
        <f t="shared" si="493"/>
        <v>Ivoorkust</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Duitsland</v>
      </c>
      <c r="CX36" s="198">
        <f t="shared" si="47"/>
        <v>34</v>
      </c>
      <c r="CY36" s="197" t="str">
        <f t="shared" si="497"/>
        <v>Ivoorkust</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Duitsland</v>
      </c>
      <c r="DK36" s="198">
        <f t="shared" si="50"/>
        <v>34</v>
      </c>
      <c r="DL36" s="197" t="str">
        <f t="shared" si="501"/>
        <v>Ivoorkust</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Duitsland</v>
      </c>
      <c r="DX36" s="198">
        <f t="shared" si="53"/>
        <v>34</v>
      </c>
      <c r="DY36" s="197" t="str">
        <f t="shared" si="505"/>
        <v>Ivoorkust</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Duitsland</v>
      </c>
      <c r="EK36" s="198">
        <f t="shared" si="56"/>
        <v>34</v>
      </c>
      <c r="EL36" s="197" t="str">
        <f t="shared" si="509"/>
        <v>Ivoorkust</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Duitsland</v>
      </c>
      <c r="EX36" s="198">
        <f t="shared" si="59"/>
        <v>34</v>
      </c>
      <c r="EY36" s="197" t="str">
        <f t="shared" si="513"/>
        <v>Ivoorkust</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Duitsland</v>
      </c>
      <c r="FK36" s="198">
        <f t="shared" si="62"/>
        <v>34</v>
      </c>
      <c r="FL36" s="197" t="str">
        <f t="shared" si="517"/>
        <v>Ivoorkust</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Duitsland</v>
      </c>
      <c r="FX36" s="198">
        <f t="shared" si="65"/>
        <v>34</v>
      </c>
      <c r="FY36" s="197" t="str">
        <f t="shared" si="521"/>
        <v>Ivoorkust</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Duitsland</v>
      </c>
      <c r="GK36" s="198">
        <f t="shared" si="68"/>
        <v>34</v>
      </c>
      <c r="GL36" s="197" t="str">
        <f t="shared" si="525"/>
        <v>Ivoorkust</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Duitsland</v>
      </c>
      <c r="GX36" s="198">
        <f t="shared" si="71"/>
        <v>34</v>
      </c>
      <c r="GY36" s="197" t="str">
        <f t="shared" si="529"/>
        <v>Ivoorkust</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Duitsland</v>
      </c>
      <c r="HK36" s="198">
        <f t="shared" si="74"/>
        <v>34</v>
      </c>
      <c r="HL36" s="197" t="str">
        <f t="shared" si="533"/>
        <v>Ivoorkust</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Duitsland</v>
      </c>
      <c r="HX36" s="198">
        <f t="shared" si="77"/>
        <v>34</v>
      </c>
      <c r="HY36" s="197" t="str">
        <f t="shared" si="537"/>
        <v>Ivoorkust</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Duitsland</v>
      </c>
      <c r="IK36" s="198">
        <f t="shared" si="80"/>
        <v>34</v>
      </c>
      <c r="IL36" s="197" t="str">
        <f t="shared" si="541"/>
        <v>Ivoorkust</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Duitsland</v>
      </c>
      <c r="IX36" s="198">
        <f t="shared" si="83"/>
        <v>34</v>
      </c>
      <c r="IY36" s="197" t="str">
        <f t="shared" si="545"/>
        <v>Ivoorkust</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Duitsland</v>
      </c>
      <c r="JK36" s="198">
        <f t="shared" si="86"/>
        <v>34</v>
      </c>
      <c r="JL36" s="197" t="str">
        <f t="shared" si="549"/>
        <v>Ivoorkust</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Duitsland</v>
      </c>
      <c r="JX36" s="198">
        <f t="shared" si="89"/>
        <v>34</v>
      </c>
      <c r="JY36" s="197" t="str">
        <f t="shared" si="553"/>
        <v>Ivoorkust</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Duitsland</v>
      </c>
      <c r="KK36" s="198">
        <f t="shared" si="92"/>
        <v>34</v>
      </c>
      <c r="KL36" s="197" t="str">
        <f t="shared" si="557"/>
        <v>Ivoorkust</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Duitsland</v>
      </c>
      <c r="KX36" s="198">
        <f t="shared" si="95"/>
        <v>34</v>
      </c>
      <c r="KY36" s="197" t="str">
        <f t="shared" si="561"/>
        <v>Ivoorkust</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Duitsland</v>
      </c>
      <c r="LK36" s="198">
        <f t="shared" si="98"/>
        <v>34</v>
      </c>
      <c r="LL36" s="197" t="str">
        <f t="shared" si="565"/>
        <v>Ivoorkust</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Duitsland</v>
      </c>
      <c r="LX36" s="198">
        <f t="shared" si="101"/>
        <v>34</v>
      </c>
      <c r="LY36" s="197" t="str">
        <f t="shared" si="569"/>
        <v>Ivoorkust</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c r="B37" s="196">
        <f>INDEX(Groups!$C$7:$C$65,MATCH(C37,Groups!$D$7:$D$65,0))</f>
        <v>23</v>
      </c>
      <c r="C37" s="197" t="str">
        <f>CalcE!$P$25</f>
        <v>Ecuador</v>
      </c>
      <c r="D37" s="198">
        <f>INDEX(Groups!$C$7:$C$65,MATCH(E37,Groups!$D$7:$D$65,0))</f>
        <v>82</v>
      </c>
      <c r="E37" s="197" t="str">
        <f>CalcE!$Q$25</f>
        <v>Curacao</v>
      </c>
      <c r="F37" s="199" t="str">
        <f>CalcE!$R$25</f>
        <v/>
      </c>
      <c r="G37" s="200" t="str">
        <f>CalcE!$S$25</f>
        <v/>
      </c>
      <c r="I37" s="196">
        <f t="shared" si="0"/>
        <v>23</v>
      </c>
      <c r="J37" s="197" t="str">
        <f t="shared" si="468"/>
        <v>Ecuador</v>
      </c>
      <c r="K37" s="198">
        <f t="shared" si="26"/>
        <v>82</v>
      </c>
      <c r="L37" s="197" t="str">
        <f t="shared" si="469"/>
        <v>Curacao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Ecuador</v>
      </c>
      <c r="X37" s="198">
        <f t="shared" si="29"/>
        <v>82</v>
      </c>
      <c r="Y37" s="197" t="str">
        <f t="shared" si="473"/>
        <v>Curacao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Ecuador</v>
      </c>
      <c r="AK37" s="198">
        <f t="shared" si="32"/>
        <v>82</v>
      </c>
      <c r="AL37" s="197" t="str">
        <f t="shared" si="477"/>
        <v>Curacao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Ecuador</v>
      </c>
      <c r="AX37" s="198">
        <f t="shared" si="35"/>
        <v>82</v>
      </c>
      <c r="AY37" s="197" t="str">
        <f t="shared" si="481"/>
        <v>Curacao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Ecuador</v>
      </c>
      <c r="BK37" s="198">
        <f t="shared" si="38"/>
        <v>82</v>
      </c>
      <c r="BL37" s="197" t="str">
        <f t="shared" si="485"/>
        <v>Curacao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Ecuador</v>
      </c>
      <c r="BX37" s="198">
        <f t="shared" si="41"/>
        <v>82</v>
      </c>
      <c r="BY37" s="197" t="str">
        <f t="shared" si="489"/>
        <v>Curacao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Ecuador</v>
      </c>
      <c r="CK37" s="198">
        <f t="shared" si="44"/>
        <v>82</v>
      </c>
      <c r="CL37" s="197" t="str">
        <f t="shared" si="493"/>
        <v>Curacao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Ecuador</v>
      </c>
      <c r="CX37" s="198">
        <f t="shared" si="47"/>
        <v>82</v>
      </c>
      <c r="CY37" s="197" t="str">
        <f t="shared" si="497"/>
        <v>Curacao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Ecuador</v>
      </c>
      <c r="DK37" s="198">
        <f t="shared" si="50"/>
        <v>82</v>
      </c>
      <c r="DL37" s="197" t="str">
        <f t="shared" si="501"/>
        <v>Curacao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Ecuador</v>
      </c>
      <c r="DX37" s="198">
        <f t="shared" si="53"/>
        <v>82</v>
      </c>
      <c r="DY37" s="197" t="str">
        <f t="shared" si="505"/>
        <v>Curacao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Ecuador</v>
      </c>
      <c r="EK37" s="198">
        <f t="shared" si="56"/>
        <v>82</v>
      </c>
      <c r="EL37" s="197" t="str">
        <f t="shared" si="509"/>
        <v>Curacao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Ecuador</v>
      </c>
      <c r="EX37" s="198">
        <f t="shared" si="59"/>
        <v>82</v>
      </c>
      <c r="EY37" s="197" t="str">
        <f t="shared" si="513"/>
        <v>Curacao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Ecuador</v>
      </c>
      <c r="FK37" s="198">
        <f t="shared" si="62"/>
        <v>82</v>
      </c>
      <c r="FL37" s="197" t="str">
        <f t="shared" si="517"/>
        <v>Curacao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Ecuador</v>
      </c>
      <c r="FX37" s="198">
        <f t="shared" si="65"/>
        <v>82</v>
      </c>
      <c r="FY37" s="197" t="str">
        <f t="shared" si="521"/>
        <v>Curacao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Ecuador</v>
      </c>
      <c r="GK37" s="198">
        <f t="shared" si="68"/>
        <v>82</v>
      </c>
      <c r="GL37" s="197" t="str">
        <f t="shared" si="525"/>
        <v>Curacao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Ecuador</v>
      </c>
      <c r="GX37" s="198">
        <f t="shared" si="71"/>
        <v>82</v>
      </c>
      <c r="GY37" s="197" t="str">
        <f t="shared" si="529"/>
        <v>Curacao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Ecuador</v>
      </c>
      <c r="HK37" s="198">
        <f t="shared" si="74"/>
        <v>82</v>
      </c>
      <c r="HL37" s="197" t="str">
        <f t="shared" si="533"/>
        <v>Curacao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Ecuador</v>
      </c>
      <c r="HX37" s="198">
        <f t="shared" si="77"/>
        <v>82</v>
      </c>
      <c r="HY37" s="197" t="str">
        <f t="shared" si="537"/>
        <v>Curacao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Ecuador</v>
      </c>
      <c r="IK37" s="198">
        <f t="shared" si="80"/>
        <v>82</v>
      </c>
      <c r="IL37" s="197" t="str">
        <f t="shared" si="541"/>
        <v>Curacao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Ecuador</v>
      </c>
      <c r="IX37" s="198">
        <f t="shared" si="83"/>
        <v>82</v>
      </c>
      <c r="IY37" s="197" t="str">
        <f t="shared" si="545"/>
        <v>Curacao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Ecuador</v>
      </c>
      <c r="JK37" s="198">
        <f t="shared" si="86"/>
        <v>82</v>
      </c>
      <c r="JL37" s="197" t="str">
        <f t="shared" si="549"/>
        <v>Curacao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Ecuador</v>
      </c>
      <c r="JX37" s="198">
        <f t="shared" si="89"/>
        <v>82</v>
      </c>
      <c r="JY37" s="197" t="str">
        <f t="shared" si="553"/>
        <v>Curacao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Ecuador</v>
      </c>
      <c r="KK37" s="198">
        <f t="shared" si="92"/>
        <v>82</v>
      </c>
      <c r="KL37" s="197" t="str">
        <f t="shared" si="557"/>
        <v>Curacao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Ecuador</v>
      </c>
      <c r="KX37" s="198">
        <f t="shared" si="95"/>
        <v>82</v>
      </c>
      <c r="KY37" s="197" t="str">
        <f t="shared" si="561"/>
        <v>Curacao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Ecuador</v>
      </c>
      <c r="LK37" s="198">
        <f t="shared" si="98"/>
        <v>82</v>
      </c>
      <c r="LL37" s="197" t="str">
        <f t="shared" si="565"/>
        <v>Curacao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Ecuador</v>
      </c>
      <c r="LX37" s="198">
        <f t="shared" si="101"/>
        <v>82</v>
      </c>
      <c r="LY37" s="197" t="str">
        <f t="shared" si="569"/>
        <v>Curacao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c r="B38" s="196">
        <f>INDEX(Groups!$C$7:$C$65,MATCH(C38,Groups!$D$7:$D$65,0))</f>
        <v>82</v>
      </c>
      <c r="C38" s="197" t="str">
        <f>CalcE!$P$26</f>
        <v>Curacao</v>
      </c>
      <c r="D38" s="198">
        <f>INDEX(Groups!$C$7:$C$65,MATCH(E38,Groups!$D$7:$D$65,0))</f>
        <v>34</v>
      </c>
      <c r="E38" s="197" t="str">
        <f>CalcE!$Q$26</f>
        <v>Ivoorkust</v>
      </c>
      <c r="F38" s="199" t="str">
        <f>CalcE!$R$26</f>
        <v/>
      </c>
      <c r="G38" s="200" t="str">
        <f>CalcE!$S$26</f>
        <v/>
      </c>
      <c r="I38" s="196">
        <f t="shared" si="0"/>
        <v>82</v>
      </c>
      <c r="J38" s="197" t="str">
        <f t="shared" si="468"/>
        <v>Curacao</v>
      </c>
      <c r="K38" s="198">
        <f t="shared" si="26"/>
        <v>34</v>
      </c>
      <c r="L38" s="197" t="str">
        <f t="shared" si="469"/>
        <v>Ivoorkust</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Curacao</v>
      </c>
      <c r="X38" s="198">
        <f t="shared" si="29"/>
        <v>34</v>
      </c>
      <c r="Y38" s="197" t="str">
        <f t="shared" si="473"/>
        <v>Ivoorkust</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Curacao</v>
      </c>
      <c r="AK38" s="198">
        <f t="shared" si="32"/>
        <v>34</v>
      </c>
      <c r="AL38" s="197" t="str">
        <f t="shared" si="477"/>
        <v>Ivoorkust</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Curacao</v>
      </c>
      <c r="AX38" s="198">
        <f t="shared" si="35"/>
        <v>34</v>
      </c>
      <c r="AY38" s="197" t="str">
        <f t="shared" si="481"/>
        <v>Ivoorkust</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Curacao</v>
      </c>
      <c r="BK38" s="198">
        <f t="shared" si="38"/>
        <v>34</v>
      </c>
      <c r="BL38" s="197" t="str">
        <f t="shared" si="485"/>
        <v>Ivoorkust</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Curacao</v>
      </c>
      <c r="BX38" s="198">
        <f t="shared" si="41"/>
        <v>34</v>
      </c>
      <c r="BY38" s="197" t="str">
        <f t="shared" si="489"/>
        <v>Ivoorkust</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Curacao</v>
      </c>
      <c r="CK38" s="198">
        <f t="shared" si="44"/>
        <v>34</v>
      </c>
      <c r="CL38" s="197" t="str">
        <f t="shared" si="493"/>
        <v>Ivoorkust</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Curacao</v>
      </c>
      <c r="CX38" s="198">
        <f t="shared" si="47"/>
        <v>34</v>
      </c>
      <c r="CY38" s="197" t="str">
        <f t="shared" si="497"/>
        <v>Ivoorkust</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Curacao</v>
      </c>
      <c r="DK38" s="198">
        <f t="shared" si="50"/>
        <v>34</v>
      </c>
      <c r="DL38" s="197" t="str">
        <f t="shared" si="501"/>
        <v>Ivoorkust</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Curacao</v>
      </c>
      <c r="DX38" s="198">
        <f t="shared" si="53"/>
        <v>34</v>
      </c>
      <c r="DY38" s="197" t="str">
        <f t="shared" si="505"/>
        <v>Ivoorkust</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Curacao</v>
      </c>
      <c r="EK38" s="198">
        <f t="shared" si="56"/>
        <v>34</v>
      </c>
      <c r="EL38" s="197" t="str">
        <f t="shared" si="509"/>
        <v>Ivoorkust</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Curacao</v>
      </c>
      <c r="EX38" s="198">
        <f t="shared" si="59"/>
        <v>34</v>
      </c>
      <c r="EY38" s="197" t="str">
        <f t="shared" si="513"/>
        <v>Ivoorkust</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Curacao</v>
      </c>
      <c r="FK38" s="198">
        <f t="shared" si="62"/>
        <v>34</v>
      </c>
      <c r="FL38" s="197" t="str">
        <f t="shared" si="517"/>
        <v>Ivoorkust</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Curacao</v>
      </c>
      <c r="FX38" s="198">
        <f t="shared" si="65"/>
        <v>34</v>
      </c>
      <c r="FY38" s="197" t="str">
        <f t="shared" si="521"/>
        <v>Ivoorkust</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Curacao</v>
      </c>
      <c r="GK38" s="198">
        <f t="shared" si="68"/>
        <v>34</v>
      </c>
      <c r="GL38" s="197" t="str">
        <f t="shared" si="525"/>
        <v>Ivoorkust</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Curacao</v>
      </c>
      <c r="GX38" s="198">
        <f t="shared" si="71"/>
        <v>34</v>
      </c>
      <c r="GY38" s="197" t="str">
        <f t="shared" si="529"/>
        <v>Ivoorkust</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Curacao</v>
      </c>
      <c r="HK38" s="198">
        <f t="shared" si="74"/>
        <v>34</v>
      </c>
      <c r="HL38" s="197" t="str">
        <f t="shared" si="533"/>
        <v>Ivoorkust</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Curacao</v>
      </c>
      <c r="HX38" s="198">
        <f t="shared" si="77"/>
        <v>34</v>
      </c>
      <c r="HY38" s="197" t="str">
        <f t="shared" si="537"/>
        <v>Ivoorkust</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Curacao</v>
      </c>
      <c r="IK38" s="198">
        <f t="shared" si="80"/>
        <v>34</v>
      </c>
      <c r="IL38" s="197" t="str">
        <f t="shared" si="541"/>
        <v>Ivoorkust</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Curacao</v>
      </c>
      <c r="IX38" s="198">
        <f t="shared" si="83"/>
        <v>34</v>
      </c>
      <c r="IY38" s="197" t="str">
        <f t="shared" si="545"/>
        <v>Ivoorkust</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Curacao</v>
      </c>
      <c r="JK38" s="198">
        <f t="shared" si="86"/>
        <v>34</v>
      </c>
      <c r="JL38" s="197" t="str">
        <f t="shared" si="549"/>
        <v>Ivoorkust</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Curacao</v>
      </c>
      <c r="JX38" s="198">
        <f t="shared" si="89"/>
        <v>34</v>
      </c>
      <c r="JY38" s="197" t="str">
        <f t="shared" si="553"/>
        <v>Ivoorkust</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Curacao</v>
      </c>
      <c r="KK38" s="198">
        <f t="shared" si="92"/>
        <v>34</v>
      </c>
      <c r="KL38" s="197" t="str">
        <f t="shared" si="557"/>
        <v>Ivoorkust</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Curacao</v>
      </c>
      <c r="KX38" s="198">
        <f t="shared" si="95"/>
        <v>34</v>
      </c>
      <c r="KY38" s="197" t="str">
        <f t="shared" si="561"/>
        <v>Ivoorkust</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Curacao</v>
      </c>
      <c r="LK38" s="198">
        <f t="shared" si="98"/>
        <v>34</v>
      </c>
      <c r="LL38" s="197" t="str">
        <f t="shared" si="565"/>
        <v>Ivoorkust</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Curacao</v>
      </c>
      <c r="LX38" s="198">
        <f t="shared" si="101"/>
        <v>34</v>
      </c>
      <c r="LY38" s="197" t="str">
        <f t="shared" si="569"/>
        <v>Ivoorkust</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c r="B39" s="196">
        <f>INDEX(Groups!$C$7:$C$65,MATCH(C39,Groups!$D$7:$D$65,0))</f>
        <v>23</v>
      </c>
      <c r="C39" s="197" t="str">
        <f>CalcE!$P$27</f>
        <v>Ecuador</v>
      </c>
      <c r="D39" s="198">
        <f>INDEX(Groups!$C$7:$C$65,MATCH(E39,Groups!$D$7:$D$65,0))</f>
        <v>10</v>
      </c>
      <c r="E39" s="197" t="str">
        <f>CalcE!$Q$27</f>
        <v>Duitsland</v>
      </c>
      <c r="F39" s="199" t="str">
        <f>CalcE!$R$27</f>
        <v/>
      </c>
      <c r="G39" s="200" t="str">
        <f>CalcE!$S$27</f>
        <v/>
      </c>
      <c r="I39" s="196">
        <f t="shared" si="0"/>
        <v>23</v>
      </c>
      <c r="J39" s="197" t="str">
        <f t="shared" si="468"/>
        <v>Ecuador</v>
      </c>
      <c r="K39" s="198">
        <f t="shared" si="26"/>
        <v>10</v>
      </c>
      <c r="L39" s="197" t="str">
        <f t="shared" si="469"/>
        <v>Duitsland</v>
      </c>
      <c r="M39" s="232"/>
      <c r="N39" s="232"/>
      <c r="O39" s="473"/>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4"/>
      <c r="V39" s="196">
        <f t="shared" si="1"/>
        <v>23</v>
      </c>
      <c r="W39" s="197" t="str">
        <f t="shared" si="472"/>
        <v>Ecuador</v>
      </c>
      <c r="X39" s="198">
        <f t="shared" si="29"/>
        <v>10</v>
      </c>
      <c r="Y39" s="197" t="str">
        <f t="shared" si="473"/>
        <v>Duitsland</v>
      </c>
      <c r="Z39" s="232"/>
      <c r="AA39" s="232"/>
      <c r="AB39" s="473"/>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4"/>
      <c r="AI39" s="196">
        <f t="shared" si="2"/>
        <v>23</v>
      </c>
      <c r="AJ39" s="197" t="str">
        <f t="shared" si="476"/>
        <v>Ecuador</v>
      </c>
      <c r="AK39" s="198">
        <f t="shared" si="32"/>
        <v>10</v>
      </c>
      <c r="AL39" s="197" t="str">
        <f t="shared" si="477"/>
        <v>Duitsland</v>
      </c>
      <c r="AM39" s="232"/>
      <c r="AN39" s="232"/>
      <c r="AO39" s="473"/>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4"/>
      <c r="AV39" s="196">
        <f t="shared" si="3"/>
        <v>23</v>
      </c>
      <c r="AW39" s="197" t="str">
        <f t="shared" si="480"/>
        <v>Ecuador</v>
      </c>
      <c r="AX39" s="198">
        <f t="shared" si="35"/>
        <v>10</v>
      </c>
      <c r="AY39" s="197" t="str">
        <f t="shared" si="481"/>
        <v>Duitsland</v>
      </c>
      <c r="AZ39" s="232"/>
      <c r="BA39" s="232"/>
      <c r="BB39" s="473"/>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4"/>
      <c r="BI39" s="196">
        <f t="shared" si="4"/>
        <v>23</v>
      </c>
      <c r="BJ39" s="197" t="str">
        <f t="shared" si="484"/>
        <v>Ecuador</v>
      </c>
      <c r="BK39" s="198">
        <f t="shared" si="38"/>
        <v>10</v>
      </c>
      <c r="BL39" s="197" t="str">
        <f t="shared" si="485"/>
        <v>Duitsland</v>
      </c>
      <c r="BM39" s="232"/>
      <c r="BN39" s="232"/>
      <c r="BO39" s="473"/>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4"/>
      <c r="BV39" s="196">
        <f t="shared" si="5"/>
        <v>23</v>
      </c>
      <c r="BW39" s="197" t="str">
        <f t="shared" si="488"/>
        <v>Ecuador</v>
      </c>
      <c r="BX39" s="198">
        <f t="shared" si="41"/>
        <v>10</v>
      </c>
      <c r="BY39" s="197" t="str">
        <f t="shared" si="489"/>
        <v>Duitsland</v>
      </c>
      <c r="BZ39" s="232"/>
      <c r="CA39" s="232"/>
      <c r="CB39" s="473"/>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4"/>
      <c r="CI39" s="196">
        <f t="shared" si="6"/>
        <v>23</v>
      </c>
      <c r="CJ39" s="197" t="str">
        <f t="shared" si="492"/>
        <v>Ecuador</v>
      </c>
      <c r="CK39" s="198">
        <f t="shared" si="44"/>
        <v>10</v>
      </c>
      <c r="CL39" s="197" t="str">
        <f t="shared" si="493"/>
        <v>Duitsland</v>
      </c>
      <c r="CM39" s="232"/>
      <c r="CN39" s="232"/>
      <c r="CO39" s="473"/>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4"/>
      <c r="CV39" s="196">
        <f t="shared" si="7"/>
        <v>23</v>
      </c>
      <c r="CW39" s="197" t="str">
        <f t="shared" si="496"/>
        <v>Ecuador</v>
      </c>
      <c r="CX39" s="198">
        <f t="shared" si="47"/>
        <v>10</v>
      </c>
      <c r="CY39" s="197" t="str">
        <f t="shared" si="497"/>
        <v>Duitsland</v>
      </c>
      <c r="CZ39" s="232"/>
      <c r="DA39" s="232"/>
      <c r="DB39" s="473"/>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4"/>
      <c r="DI39" s="196">
        <f t="shared" si="8"/>
        <v>23</v>
      </c>
      <c r="DJ39" s="197" t="str">
        <f t="shared" si="500"/>
        <v>Ecuador</v>
      </c>
      <c r="DK39" s="198">
        <f t="shared" si="50"/>
        <v>10</v>
      </c>
      <c r="DL39" s="197" t="str">
        <f t="shared" si="501"/>
        <v>Duitsland</v>
      </c>
      <c r="DM39" s="232"/>
      <c r="DN39" s="232"/>
      <c r="DO39" s="473"/>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4"/>
      <c r="DV39" s="196">
        <f t="shared" si="9"/>
        <v>23</v>
      </c>
      <c r="DW39" s="197" t="str">
        <f t="shared" si="504"/>
        <v>Ecuador</v>
      </c>
      <c r="DX39" s="198">
        <f t="shared" si="53"/>
        <v>10</v>
      </c>
      <c r="DY39" s="197" t="str">
        <f t="shared" si="505"/>
        <v>Duitsland</v>
      </c>
      <c r="DZ39" s="232"/>
      <c r="EA39" s="232"/>
      <c r="EB39" s="473"/>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4"/>
      <c r="EI39" s="196">
        <f t="shared" si="10"/>
        <v>23</v>
      </c>
      <c r="EJ39" s="197" t="str">
        <f t="shared" si="508"/>
        <v>Ecuador</v>
      </c>
      <c r="EK39" s="198">
        <f t="shared" si="56"/>
        <v>10</v>
      </c>
      <c r="EL39" s="197" t="str">
        <f t="shared" si="509"/>
        <v>Duitsland</v>
      </c>
      <c r="EM39" s="232"/>
      <c r="EN39" s="232"/>
      <c r="EO39" s="473"/>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4"/>
      <c r="EV39" s="196">
        <f t="shared" si="11"/>
        <v>23</v>
      </c>
      <c r="EW39" s="197" t="str">
        <f t="shared" si="512"/>
        <v>Ecuador</v>
      </c>
      <c r="EX39" s="198">
        <f t="shared" si="59"/>
        <v>10</v>
      </c>
      <c r="EY39" s="197" t="str">
        <f t="shared" si="513"/>
        <v>Duitsland</v>
      </c>
      <c r="EZ39" s="232"/>
      <c r="FA39" s="232"/>
      <c r="FB39" s="473"/>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4"/>
      <c r="FI39" s="196">
        <f t="shared" si="12"/>
        <v>23</v>
      </c>
      <c r="FJ39" s="197" t="str">
        <f t="shared" si="516"/>
        <v>Ecuador</v>
      </c>
      <c r="FK39" s="198">
        <f t="shared" si="62"/>
        <v>10</v>
      </c>
      <c r="FL39" s="197" t="str">
        <f t="shared" si="517"/>
        <v>Duitsland</v>
      </c>
      <c r="FM39" s="232"/>
      <c r="FN39" s="232"/>
      <c r="FO39" s="473"/>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4"/>
      <c r="FV39" s="196">
        <f t="shared" si="13"/>
        <v>23</v>
      </c>
      <c r="FW39" s="197" t="str">
        <f t="shared" si="520"/>
        <v>Ecuador</v>
      </c>
      <c r="FX39" s="198">
        <f t="shared" si="65"/>
        <v>10</v>
      </c>
      <c r="FY39" s="197" t="str">
        <f t="shared" si="521"/>
        <v>Duitsland</v>
      </c>
      <c r="FZ39" s="232"/>
      <c r="GA39" s="232"/>
      <c r="GB39" s="473"/>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4"/>
      <c r="GI39" s="196">
        <f t="shared" si="14"/>
        <v>23</v>
      </c>
      <c r="GJ39" s="197" t="str">
        <f t="shared" si="524"/>
        <v>Ecuador</v>
      </c>
      <c r="GK39" s="198">
        <f t="shared" si="68"/>
        <v>10</v>
      </c>
      <c r="GL39" s="197" t="str">
        <f t="shared" si="525"/>
        <v>Duitsland</v>
      </c>
      <c r="GM39" s="232"/>
      <c r="GN39" s="232"/>
      <c r="GO39" s="473"/>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4"/>
      <c r="GV39" s="196">
        <f t="shared" si="15"/>
        <v>23</v>
      </c>
      <c r="GW39" s="197" t="str">
        <f t="shared" si="528"/>
        <v>Ecuador</v>
      </c>
      <c r="GX39" s="198">
        <f t="shared" si="71"/>
        <v>10</v>
      </c>
      <c r="GY39" s="197" t="str">
        <f t="shared" si="529"/>
        <v>Duitsland</v>
      </c>
      <c r="GZ39" s="232"/>
      <c r="HA39" s="232"/>
      <c r="HB39" s="473"/>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4"/>
      <c r="HI39" s="196">
        <f t="shared" si="16"/>
        <v>23</v>
      </c>
      <c r="HJ39" s="197" t="str">
        <f t="shared" si="532"/>
        <v>Ecuador</v>
      </c>
      <c r="HK39" s="198">
        <f t="shared" si="74"/>
        <v>10</v>
      </c>
      <c r="HL39" s="197" t="str">
        <f t="shared" si="533"/>
        <v>Duitsland</v>
      </c>
      <c r="HM39" s="232"/>
      <c r="HN39" s="232"/>
      <c r="HO39" s="473"/>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4"/>
      <c r="HV39" s="196">
        <f t="shared" si="17"/>
        <v>23</v>
      </c>
      <c r="HW39" s="197" t="str">
        <f t="shared" si="536"/>
        <v>Ecuador</v>
      </c>
      <c r="HX39" s="198">
        <f t="shared" si="77"/>
        <v>10</v>
      </c>
      <c r="HY39" s="197" t="str">
        <f t="shared" si="537"/>
        <v>Duitsland</v>
      </c>
      <c r="HZ39" s="232"/>
      <c r="IA39" s="232"/>
      <c r="IB39" s="473"/>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4"/>
      <c r="II39" s="196">
        <f t="shared" si="18"/>
        <v>23</v>
      </c>
      <c r="IJ39" s="197" t="str">
        <f t="shared" si="540"/>
        <v>Ecuador</v>
      </c>
      <c r="IK39" s="198">
        <f t="shared" si="80"/>
        <v>10</v>
      </c>
      <c r="IL39" s="197" t="str">
        <f t="shared" si="541"/>
        <v>Duitsland</v>
      </c>
      <c r="IM39" s="232"/>
      <c r="IN39" s="232"/>
      <c r="IO39" s="473"/>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4"/>
      <c r="IV39" s="196">
        <f t="shared" si="19"/>
        <v>23</v>
      </c>
      <c r="IW39" s="197" t="str">
        <f t="shared" si="544"/>
        <v>Ecuador</v>
      </c>
      <c r="IX39" s="198">
        <f t="shared" si="83"/>
        <v>10</v>
      </c>
      <c r="IY39" s="197" t="str">
        <f t="shared" si="545"/>
        <v>Duitsland</v>
      </c>
      <c r="IZ39" s="232"/>
      <c r="JA39" s="232"/>
      <c r="JB39" s="473"/>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4"/>
      <c r="JI39" s="196">
        <f t="shared" si="20"/>
        <v>23</v>
      </c>
      <c r="JJ39" s="197" t="str">
        <f t="shared" si="548"/>
        <v>Ecuador</v>
      </c>
      <c r="JK39" s="198">
        <f t="shared" si="86"/>
        <v>10</v>
      </c>
      <c r="JL39" s="197" t="str">
        <f t="shared" si="549"/>
        <v>Duitsland</v>
      </c>
      <c r="JM39" s="232"/>
      <c r="JN39" s="232"/>
      <c r="JO39" s="473"/>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4"/>
      <c r="JV39" s="196">
        <f t="shared" si="21"/>
        <v>23</v>
      </c>
      <c r="JW39" s="197" t="str">
        <f t="shared" si="552"/>
        <v>Ecuador</v>
      </c>
      <c r="JX39" s="198">
        <f t="shared" si="89"/>
        <v>10</v>
      </c>
      <c r="JY39" s="197" t="str">
        <f t="shared" si="553"/>
        <v>Duitsland</v>
      </c>
      <c r="JZ39" s="232"/>
      <c r="KA39" s="232"/>
      <c r="KB39" s="473"/>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4"/>
      <c r="KI39" s="196">
        <f t="shared" si="22"/>
        <v>23</v>
      </c>
      <c r="KJ39" s="197" t="str">
        <f t="shared" si="556"/>
        <v>Ecuador</v>
      </c>
      <c r="KK39" s="198">
        <f t="shared" si="92"/>
        <v>10</v>
      </c>
      <c r="KL39" s="197" t="str">
        <f t="shared" si="557"/>
        <v>Duitsland</v>
      </c>
      <c r="KM39" s="232"/>
      <c r="KN39" s="232"/>
      <c r="KO39" s="473"/>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4"/>
      <c r="KV39" s="196">
        <f t="shared" si="23"/>
        <v>23</v>
      </c>
      <c r="KW39" s="197" t="str">
        <f t="shared" si="560"/>
        <v>Ecuador</v>
      </c>
      <c r="KX39" s="198">
        <f t="shared" si="95"/>
        <v>10</v>
      </c>
      <c r="KY39" s="197" t="str">
        <f t="shared" si="561"/>
        <v>Duitsland</v>
      </c>
      <c r="KZ39" s="232"/>
      <c r="LA39" s="232"/>
      <c r="LB39" s="473"/>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4"/>
      <c r="LI39" s="196">
        <f t="shared" si="24"/>
        <v>23</v>
      </c>
      <c r="LJ39" s="197" t="str">
        <f t="shared" si="564"/>
        <v>Ecuador</v>
      </c>
      <c r="LK39" s="198">
        <f t="shared" si="98"/>
        <v>10</v>
      </c>
      <c r="LL39" s="197" t="str">
        <f t="shared" si="565"/>
        <v>Duitsland</v>
      </c>
      <c r="LM39" s="232"/>
      <c r="LN39" s="232"/>
      <c r="LO39" s="473"/>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4"/>
      <c r="LV39" s="196">
        <f t="shared" si="25"/>
        <v>23</v>
      </c>
      <c r="LW39" s="197" t="str">
        <f t="shared" si="568"/>
        <v>Ecuador</v>
      </c>
      <c r="LX39" s="198">
        <f t="shared" si="101"/>
        <v>10</v>
      </c>
      <c r="LY39" s="197" t="str">
        <f t="shared" si="569"/>
        <v>Duitsland</v>
      </c>
      <c r="LZ39" s="232"/>
      <c r="MA39" s="232"/>
      <c r="MB39" s="473"/>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4"/>
    </row>
    <row r="40" spans="1:345" ht="24" customHeight="1">
      <c r="B40" s="205" t="str">
        <f>Language!$E$130&amp;" F"</f>
        <v>Groep F</v>
      </c>
      <c r="C40" s="206"/>
      <c r="D40" s="211"/>
      <c r="E40" s="208"/>
      <c r="F40" s="212"/>
      <c r="G40" s="213"/>
      <c r="I40" s="205" t="str">
        <f t="shared" si="0"/>
        <v>Groep F</v>
      </c>
      <c r="J40" s="211"/>
      <c r="K40" s="211"/>
      <c r="L40" s="208"/>
      <c r="M40" s="236"/>
      <c r="N40" s="237"/>
      <c r="O40" s="209"/>
      <c r="P40" s="220"/>
      <c r="Q40" s="220"/>
      <c r="R40" s="208"/>
      <c r="S40" s="208"/>
      <c r="T40" s="221"/>
      <c r="V40" s="205" t="str">
        <f t="shared" si="1"/>
        <v>Groep F</v>
      </c>
      <c r="W40" s="211"/>
      <c r="X40" s="211"/>
      <c r="Y40" s="208"/>
      <c r="Z40" s="236"/>
      <c r="AA40" s="237"/>
      <c r="AB40" s="209"/>
      <c r="AC40" s="220"/>
      <c r="AD40" s="220"/>
      <c r="AE40" s="208"/>
      <c r="AF40" s="208"/>
      <c r="AG40" s="221"/>
      <c r="AI40" s="205" t="str">
        <f t="shared" si="2"/>
        <v>Groep F</v>
      </c>
      <c r="AJ40" s="211"/>
      <c r="AK40" s="211"/>
      <c r="AL40" s="208"/>
      <c r="AM40" s="236"/>
      <c r="AN40" s="237"/>
      <c r="AO40" s="209"/>
      <c r="AP40" s="220"/>
      <c r="AQ40" s="220"/>
      <c r="AR40" s="208"/>
      <c r="AS40" s="208"/>
      <c r="AT40" s="221"/>
      <c r="AV40" s="205" t="str">
        <f t="shared" si="3"/>
        <v>Groep F</v>
      </c>
      <c r="AW40" s="211"/>
      <c r="AX40" s="211"/>
      <c r="AY40" s="208"/>
      <c r="AZ40" s="236"/>
      <c r="BA40" s="237"/>
      <c r="BB40" s="209"/>
      <c r="BC40" s="220"/>
      <c r="BD40" s="220"/>
      <c r="BE40" s="208"/>
      <c r="BF40" s="208"/>
      <c r="BG40" s="221"/>
      <c r="BI40" s="205" t="str">
        <f t="shared" si="4"/>
        <v>Groep F</v>
      </c>
      <c r="BJ40" s="211"/>
      <c r="BK40" s="211"/>
      <c r="BL40" s="208"/>
      <c r="BM40" s="236"/>
      <c r="BN40" s="237"/>
      <c r="BO40" s="209"/>
      <c r="BP40" s="220"/>
      <c r="BQ40" s="220"/>
      <c r="BR40" s="208"/>
      <c r="BS40" s="208"/>
      <c r="BT40" s="221"/>
      <c r="BV40" s="205" t="str">
        <f t="shared" si="5"/>
        <v>Groep F</v>
      </c>
      <c r="BW40" s="211"/>
      <c r="BX40" s="211"/>
      <c r="BY40" s="208"/>
      <c r="BZ40" s="236"/>
      <c r="CA40" s="237"/>
      <c r="CB40" s="209"/>
      <c r="CC40" s="220"/>
      <c r="CD40" s="220"/>
      <c r="CE40" s="208"/>
      <c r="CF40" s="208"/>
      <c r="CG40" s="221"/>
      <c r="CI40" s="205" t="str">
        <f t="shared" si="6"/>
        <v>Groep F</v>
      </c>
      <c r="CJ40" s="211"/>
      <c r="CK40" s="211"/>
      <c r="CL40" s="208"/>
      <c r="CM40" s="236"/>
      <c r="CN40" s="237"/>
      <c r="CO40" s="209"/>
      <c r="CP40" s="220"/>
      <c r="CQ40" s="220"/>
      <c r="CR40" s="208"/>
      <c r="CS40" s="208"/>
      <c r="CT40" s="221"/>
      <c r="CV40" s="205" t="str">
        <f t="shared" si="7"/>
        <v>Groep F</v>
      </c>
      <c r="CW40" s="211"/>
      <c r="CX40" s="211"/>
      <c r="CY40" s="208"/>
      <c r="CZ40" s="236"/>
      <c r="DA40" s="237"/>
      <c r="DB40" s="209"/>
      <c r="DC40" s="220"/>
      <c r="DD40" s="220"/>
      <c r="DE40" s="208"/>
      <c r="DF40" s="208"/>
      <c r="DG40" s="221"/>
      <c r="DI40" s="205" t="str">
        <f t="shared" si="8"/>
        <v>Groep F</v>
      </c>
      <c r="DJ40" s="211"/>
      <c r="DK40" s="211"/>
      <c r="DL40" s="208"/>
      <c r="DM40" s="236"/>
      <c r="DN40" s="237"/>
      <c r="DO40" s="209"/>
      <c r="DP40" s="220"/>
      <c r="DQ40" s="220"/>
      <c r="DR40" s="208"/>
      <c r="DS40" s="208"/>
      <c r="DT40" s="221"/>
      <c r="DV40" s="205" t="str">
        <f t="shared" si="9"/>
        <v>Groep F</v>
      </c>
      <c r="DW40" s="211"/>
      <c r="DX40" s="211"/>
      <c r="DY40" s="208"/>
      <c r="DZ40" s="236"/>
      <c r="EA40" s="237"/>
      <c r="EB40" s="209"/>
      <c r="EC40" s="220"/>
      <c r="ED40" s="220"/>
      <c r="EE40" s="208"/>
      <c r="EF40" s="208"/>
      <c r="EG40" s="221"/>
      <c r="EI40" s="205" t="str">
        <f t="shared" si="10"/>
        <v>Groep F</v>
      </c>
      <c r="EJ40" s="211"/>
      <c r="EK40" s="211"/>
      <c r="EL40" s="208"/>
      <c r="EM40" s="236"/>
      <c r="EN40" s="237"/>
      <c r="EO40" s="209"/>
      <c r="EP40" s="220"/>
      <c r="EQ40" s="220"/>
      <c r="ER40" s="208"/>
      <c r="ES40" s="208"/>
      <c r="ET40" s="221"/>
      <c r="EV40" s="205" t="str">
        <f t="shared" si="11"/>
        <v>Groep F</v>
      </c>
      <c r="EW40" s="211"/>
      <c r="EX40" s="211"/>
      <c r="EY40" s="208"/>
      <c r="EZ40" s="236"/>
      <c r="FA40" s="237"/>
      <c r="FB40" s="209"/>
      <c r="FC40" s="220"/>
      <c r="FD40" s="220"/>
      <c r="FE40" s="208"/>
      <c r="FF40" s="208"/>
      <c r="FG40" s="221"/>
      <c r="FI40" s="205" t="str">
        <f t="shared" si="12"/>
        <v>Groep F</v>
      </c>
      <c r="FJ40" s="211"/>
      <c r="FK40" s="211"/>
      <c r="FL40" s="208"/>
      <c r="FM40" s="236"/>
      <c r="FN40" s="237"/>
      <c r="FO40" s="209"/>
      <c r="FP40" s="220"/>
      <c r="FQ40" s="220"/>
      <c r="FR40" s="208"/>
      <c r="FS40" s="208"/>
      <c r="FT40" s="221"/>
      <c r="FV40" s="205" t="str">
        <f t="shared" si="13"/>
        <v>Groep F</v>
      </c>
      <c r="FW40" s="211"/>
      <c r="FX40" s="211"/>
      <c r="FY40" s="208"/>
      <c r="FZ40" s="236"/>
      <c r="GA40" s="237"/>
      <c r="GB40" s="209"/>
      <c r="GC40" s="220"/>
      <c r="GD40" s="220"/>
      <c r="GE40" s="208"/>
      <c r="GF40" s="208"/>
      <c r="GG40" s="221"/>
      <c r="GI40" s="205" t="str">
        <f t="shared" si="14"/>
        <v>Groep F</v>
      </c>
      <c r="GJ40" s="211"/>
      <c r="GK40" s="211"/>
      <c r="GL40" s="208"/>
      <c r="GM40" s="236"/>
      <c r="GN40" s="237"/>
      <c r="GO40" s="209"/>
      <c r="GP40" s="220"/>
      <c r="GQ40" s="220"/>
      <c r="GR40" s="208"/>
      <c r="GS40" s="208"/>
      <c r="GT40" s="221"/>
      <c r="GV40" s="205" t="str">
        <f t="shared" si="15"/>
        <v>Groep F</v>
      </c>
      <c r="GW40" s="211"/>
      <c r="GX40" s="211"/>
      <c r="GY40" s="208"/>
      <c r="GZ40" s="236"/>
      <c r="HA40" s="237"/>
      <c r="HB40" s="209"/>
      <c r="HC40" s="220"/>
      <c r="HD40" s="220"/>
      <c r="HE40" s="208"/>
      <c r="HF40" s="208"/>
      <c r="HG40" s="221"/>
      <c r="HI40" s="205" t="str">
        <f t="shared" si="16"/>
        <v>Groep F</v>
      </c>
      <c r="HJ40" s="211"/>
      <c r="HK40" s="211"/>
      <c r="HL40" s="208"/>
      <c r="HM40" s="236"/>
      <c r="HN40" s="237"/>
      <c r="HO40" s="209"/>
      <c r="HP40" s="220"/>
      <c r="HQ40" s="220"/>
      <c r="HR40" s="208"/>
      <c r="HS40" s="208"/>
      <c r="HT40" s="221"/>
      <c r="HV40" s="205" t="str">
        <f t="shared" si="17"/>
        <v>Groep F</v>
      </c>
      <c r="HW40" s="211"/>
      <c r="HX40" s="211"/>
      <c r="HY40" s="208"/>
      <c r="HZ40" s="236"/>
      <c r="IA40" s="237"/>
      <c r="IB40" s="209"/>
      <c r="IC40" s="220"/>
      <c r="ID40" s="220"/>
      <c r="IE40" s="208"/>
      <c r="IF40" s="208"/>
      <c r="IG40" s="221"/>
      <c r="II40" s="205" t="str">
        <f t="shared" si="18"/>
        <v>Groep F</v>
      </c>
      <c r="IJ40" s="211"/>
      <c r="IK40" s="211"/>
      <c r="IL40" s="208"/>
      <c r="IM40" s="236"/>
      <c r="IN40" s="237"/>
      <c r="IO40" s="209"/>
      <c r="IP40" s="220"/>
      <c r="IQ40" s="220"/>
      <c r="IR40" s="208"/>
      <c r="IS40" s="208"/>
      <c r="IT40" s="221"/>
      <c r="IV40" s="205" t="str">
        <f t="shared" si="19"/>
        <v>Groep F</v>
      </c>
      <c r="IW40" s="211"/>
      <c r="IX40" s="211"/>
      <c r="IY40" s="208"/>
      <c r="IZ40" s="236"/>
      <c r="JA40" s="237"/>
      <c r="JB40" s="209"/>
      <c r="JC40" s="220"/>
      <c r="JD40" s="220"/>
      <c r="JE40" s="208"/>
      <c r="JF40" s="208"/>
      <c r="JG40" s="221"/>
      <c r="JI40" s="205" t="str">
        <f t="shared" si="20"/>
        <v>Groep F</v>
      </c>
      <c r="JJ40" s="211"/>
      <c r="JK40" s="211"/>
      <c r="JL40" s="208"/>
      <c r="JM40" s="236"/>
      <c r="JN40" s="237"/>
      <c r="JO40" s="209"/>
      <c r="JP40" s="220"/>
      <c r="JQ40" s="220"/>
      <c r="JR40" s="208"/>
      <c r="JS40" s="208"/>
      <c r="JT40" s="221"/>
      <c r="JV40" s="205" t="str">
        <f t="shared" si="21"/>
        <v>Groep F</v>
      </c>
      <c r="JW40" s="211"/>
      <c r="JX40" s="211"/>
      <c r="JY40" s="208"/>
      <c r="JZ40" s="236"/>
      <c r="KA40" s="237"/>
      <c r="KB40" s="209"/>
      <c r="KC40" s="220"/>
      <c r="KD40" s="220"/>
      <c r="KE40" s="208"/>
      <c r="KF40" s="208"/>
      <c r="KG40" s="221"/>
      <c r="KI40" s="205" t="str">
        <f t="shared" si="22"/>
        <v>Groep F</v>
      </c>
      <c r="KJ40" s="211"/>
      <c r="KK40" s="211"/>
      <c r="KL40" s="208"/>
      <c r="KM40" s="236"/>
      <c r="KN40" s="237"/>
      <c r="KO40" s="209"/>
      <c r="KP40" s="220"/>
      <c r="KQ40" s="220"/>
      <c r="KR40" s="208"/>
      <c r="KS40" s="208"/>
      <c r="KT40" s="221"/>
      <c r="KV40" s="205" t="str">
        <f t="shared" si="23"/>
        <v>Groep F</v>
      </c>
      <c r="KW40" s="211"/>
      <c r="KX40" s="211"/>
      <c r="KY40" s="208"/>
      <c r="KZ40" s="236"/>
      <c r="LA40" s="237"/>
      <c r="LB40" s="209"/>
      <c r="LC40" s="220"/>
      <c r="LD40" s="220"/>
      <c r="LE40" s="208"/>
      <c r="LF40" s="208"/>
      <c r="LG40" s="221"/>
      <c r="LI40" s="205" t="str">
        <f t="shared" si="24"/>
        <v>Groep F</v>
      </c>
      <c r="LJ40" s="211"/>
      <c r="LK40" s="211"/>
      <c r="LL40" s="208"/>
      <c r="LM40" s="236"/>
      <c r="LN40" s="237"/>
      <c r="LO40" s="209"/>
      <c r="LP40" s="220"/>
      <c r="LQ40" s="220"/>
      <c r="LR40" s="208"/>
      <c r="LS40" s="208"/>
      <c r="LT40" s="221"/>
      <c r="LV40" s="205" t="str">
        <f t="shared" si="25"/>
        <v>Groep F</v>
      </c>
      <c r="LW40" s="211"/>
      <c r="LX40" s="211"/>
      <c r="LY40" s="208"/>
      <c r="LZ40" s="236"/>
      <c r="MA40" s="237"/>
      <c r="MB40" s="209"/>
      <c r="MC40" s="220"/>
      <c r="MD40" s="220"/>
      <c r="ME40" s="208"/>
      <c r="MF40" s="208"/>
      <c r="MG40" s="221"/>
    </row>
    <row r="41" spans="1:345">
      <c r="B41" s="196">
        <f>INDEX(Groups!$C$7:$C$65,MATCH(C41,Groups!$D$7:$D$65,0))</f>
        <v>7</v>
      </c>
      <c r="C41" s="197" t="str">
        <f>CalcF!$P$22</f>
        <v>Nederland</v>
      </c>
      <c r="D41" s="198">
        <f>INDEX(Groups!$C$7:$C$65,MATCH(E41,Groups!$D$7:$D$65,0))</f>
        <v>18</v>
      </c>
      <c r="E41" s="197" t="str">
        <f>CalcF!$Q$22</f>
        <v>Japan</v>
      </c>
      <c r="F41" s="199" t="str">
        <f>CalcF!$R$22</f>
        <v/>
      </c>
      <c r="G41" s="200" t="str">
        <f>CalcF!$S$22</f>
        <v/>
      </c>
      <c r="I41" s="196">
        <f t="shared" si="0"/>
        <v>7</v>
      </c>
      <c r="J41" s="197" t="str">
        <f t="shared" ref="J41:J46" si="572">$C41</f>
        <v>Nederland</v>
      </c>
      <c r="K41" s="198">
        <f t="shared" si="26"/>
        <v>18</v>
      </c>
      <c r="L41" s="197" t="str">
        <f t="shared" ref="L41:L46" si="573">$E41</f>
        <v>Japan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Nederland</v>
      </c>
      <c r="X41" s="198">
        <f t="shared" si="29"/>
        <v>18</v>
      </c>
      <c r="Y41" s="197" t="str">
        <f t="shared" ref="Y41:Y46" si="577">$E41</f>
        <v>Japan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Nederland</v>
      </c>
      <c r="AK41" s="198">
        <f t="shared" si="32"/>
        <v>18</v>
      </c>
      <c r="AL41" s="197" t="str">
        <f t="shared" ref="AL41:AL46" si="581">$E41</f>
        <v>Japan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Nederland</v>
      </c>
      <c r="AX41" s="198">
        <f t="shared" si="35"/>
        <v>18</v>
      </c>
      <c r="AY41" s="197" t="str">
        <f t="shared" ref="AY41:AY46" si="585">$E41</f>
        <v>Japan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Nederland</v>
      </c>
      <c r="BK41" s="198">
        <f t="shared" si="38"/>
        <v>18</v>
      </c>
      <c r="BL41" s="197" t="str">
        <f t="shared" ref="BL41:BL46" si="589">$E41</f>
        <v>Japan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Nederland</v>
      </c>
      <c r="BX41" s="198">
        <f t="shared" si="41"/>
        <v>18</v>
      </c>
      <c r="BY41" s="197" t="str">
        <f t="shared" ref="BY41:BY46" si="593">$E41</f>
        <v>Japan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Nederland</v>
      </c>
      <c r="CK41" s="198">
        <f t="shared" si="44"/>
        <v>18</v>
      </c>
      <c r="CL41" s="197" t="str">
        <f t="shared" ref="CL41:CL46" si="597">$E41</f>
        <v>Japan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Nederland</v>
      </c>
      <c r="CX41" s="198">
        <f t="shared" si="47"/>
        <v>18</v>
      </c>
      <c r="CY41" s="197" t="str">
        <f t="shared" ref="CY41:CY46" si="601">$E41</f>
        <v>Japan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Nederland</v>
      </c>
      <c r="DK41" s="198">
        <f t="shared" si="50"/>
        <v>18</v>
      </c>
      <c r="DL41" s="197" t="str">
        <f t="shared" ref="DL41:DL46" si="605">$E41</f>
        <v>Japan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Nederland</v>
      </c>
      <c r="DX41" s="198">
        <f t="shared" si="53"/>
        <v>18</v>
      </c>
      <c r="DY41" s="197" t="str">
        <f t="shared" ref="DY41:DY46" si="609">$E41</f>
        <v>Japan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Nederland</v>
      </c>
      <c r="EK41" s="198">
        <f t="shared" si="56"/>
        <v>18</v>
      </c>
      <c r="EL41" s="197" t="str">
        <f t="shared" ref="EL41:EL46" si="613">$E41</f>
        <v>Japan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Nederland</v>
      </c>
      <c r="EX41" s="198">
        <f t="shared" si="59"/>
        <v>18</v>
      </c>
      <c r="EY41" s="197" t="str">
        <f t="shared" ref="EY41:EY46" si="617">$E41</f>
        <v>Japan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Nederland</v>
      </c>
      <c r="FK41" s="198">
        <f t="shared" si="62"/>
        <v>18</v>
      </c>
      <c r="FL41" s="197" t="str">
        <f t="shared" ref="FL41:FL46" si="621">$E41</f>
        <v>Japan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Nederland</v>
      </c>
      <c r="FX41" s="198">
        <f t="shared" si="65"/>
        <v>18</v>
      </c>
      <c r="FY41" s="197" t="str">
        <f t="shared" ref="FY41:FY46" si="625">$E41</f>
        <v>Japan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Nederland</v>
      </c>
      <c r="GK41" s="198">
        <f t="shared" si="68"/>
        <v>18</v>
      </c>
      <c r="GL41" s="197" t="str">
        <f t="shared" ref="GL41:GL46" si="629">$E41</f>
        <v>Japan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Nederland</v>
      </c>
      <c r="GX41" s="198">
        <f t="shared" si="71"/>
        <v>18</v>
      </c>
      <c r="GY41" s="197" t="str">
        <f t="shared" ref="GY41:GY46" si="633">$E41</f>
        <v>Japan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Nederland</v>
      </c>
      <c r="HK41" s="198">
        <f t="shared" si="74"/>
        <v>18</v>
      </c>
      <c r="HL41" s="197" t="str">
        <f t="shared" ref="HL41:HL46" si="637">$E41</f>
        <v>Japan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Nederland</v>
      </c>
      <c r="HX41" s="198">
        <f t="shared" si="77"/>
        <v>18</v>
      </c>
      <c r="HY41" s="197" t="str">
        <f t="shared" ref="HY41:HY46" si="641">$E41</f>
        <v>Japan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Nederland</v>
      </c>
      <c r="IK41" s="198">
        <f t="shared" si="80"/>
        <v>18</v>
      </c>
      <c r="IL41" s="197" t="str">
        <f t="shared" ref="IL41:IL46" si="645">$E41</f>
        <v>Japan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Nederland</v>
      </c>
      <c r="IX41" s="198">
        <f t="shared" si="83"/>
        <v>18</v>
      </c>
      <c r="IY41" s="197" t="str">
        <f t="shared" ref="IY41:IY46" si="649">$E41</f>
        <v>Japan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Nederland</v>
      </c>
      <c r="JK41" s="198">
        <f t="shared" si="86"/>
        <v>18</v>
      </c>
      <c r="JL41" s="197" t="str">
        <f t="shared" ref="JL41:JL46" si="653">$E41</f>
        <v>Japan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Nederland</v>
      </c>
      <c r="JX41" s="198">
        <f t="shared" si="89"/>
        <v>18</v>
      </c>
      <c r="JY41" s="197" t="str">
        <f t="shared" ref="JY41:JY46" si="657">$E41</f>
        <v>Japan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Nederland</v>
      </c>
      <c r="KK41" s="198">
        <f t="shared" si="92"/>
        <v>18</v>
      </c>
      <c r="KL41" s="197" t="str">
        <f t="shared" ref="KL41:KL46" si="661">$E41</f>
        <v>Japan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Nederland</v>
      </c>
      <c r="KX41" s="198">
        <f t="shared" si="95"/>
        <v>18</v>
      </c>
      <c r="KY41" s="197" t="str">
        <f t="shared" ref="KY41:KY46" si="665">$E41</f>
        <v>Japan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Nederland</v>
      </c>
      <c r="LK41" s="198">
        <f t="shared" si="98"/>
        <v>18</v>
      </c>
      <c r="LL41" s="197" t="str">
        <f t="shared" ref="LL41:LL46" si="669">$E41</f>
        <v>Japan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Nederland</v>
      </c>
      <c r="LX41" s="198">
        <f t="shared" si="101"/>
        <v>18</v>
      </c>
      <c r="LY41" s="197" t="str">
        <f t="shared" ref="LY41:LY46" si="673">$E41</f>
        <v>Japan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c r="B42" s="196">
        <f>INDEX(Groups!$C$7:$C$65,MATCH(C42,Groups!$D$7:$D$65,0))</f>
        <v>38</v>
      </c>
      <c r="C42" s="197" t="str">
        <f>CalcF!$P$23</f>
        <v>Zweden</v>
      </c>
      <c r="D42" s="198">
        <f>INDEX(Groups!$C$7:$C$65,MATCH(E42,Groups!$D$7:$D$65,0))</f>
        <v>44</v>
      </c>
      <c r="E42" s="197" t="str">
        <f>CalcF!$Q$23</f>
        <v>Tunesië</v>
      </c>
      <c r="F42" s="725" t="str">
        <f>CalcF!$R$23</f>
        <v/>
      </c>
      <c r="G42" s="200" t="str">
        <f>CalcF!$S$23</f>
        <v/>
      </c>
      <c r="I42" s="196">
        <f t="shared" si="0"/>
        <v>38</v>
      </c>
      <c r="J42" s="197" t="str">
        <f t="shared" si="572"/>
        <v>Zweden</v>
      </c>
      <c r="K42" s="198">
        <f t="shared" si="26"/>
        <v>44</v>
      </c>
      <c r="L42" s="197" t="str">
        <f t="shared" si="573"/>
        <v>Tunesië</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Zweden</v>
      </c>
      <c r="X42" s="198">
        <f t="shared" si="29"/>
        <v>44</v>
      </c>
      <c r="Y42" s="197" t="str">
        <f t="shared" si="577"/>
        <v>Tunesië</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Zweden</v>
      </c>
      <c r="AK42" s="198">
        <f t="shared" si="32"/>
        <v>44</v>
      </c>
      <c r="AL42" s="197" t="str">
        <f t="shared" si="581"/>
        <v>Tunesië</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Zweden</v>
      </c>
      <c r="AX42" s="198">
        <f t="shared" si="35"/>
        <v>44</v>
      </c>
      <c r="AY42" s="197" t="str">
        <f t="shared" si="585"/>
        <v>Tunesië</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Zweden</v>
      </c>
      <c r="BK42" s="198">
        <f t="shared" si="38"/>
        <v>44</v>
      </c>
      <c r="BL42" s="197" t="str">
        <f t="shared" si="589"/>
        <v>Tunesië</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Zweden</v>
      </c>
      <c r="BX42" s="198">
        <f t="shared" si="41"/>
        <v>44</v>
      </c>
      <c r="BY42" s="197" t="str">
        <f t="shared" si="593"/>
        <v>Tunesië</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Zweden</v>
      </c>
      <c r="CK42" s="198">
        <f t="shared" si="44"/>
        <v>44</v>
      </c>
      <c r="CL42" s="197" t="str">
        <f t="shared" si="597"/>
        <v>Tunesië</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Zweden</v>
      </c>
      <c r="CX42" s="198">
        <f t="shared" si="47"/>
        <v>44</v>
      </c>
      <c r="CY42" s="197" t="str">
        <f t="shared" si="601"/>
        <v>Tunesië</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Zweden</v>
      </c>
      <c r="DK42" s="198">
        <f t="shared" si="50"/>
        <v>44</v>
      </c>
      <c r="DL42" s="197" t="str">
        <f t="shared" si="605"/>
        <v>Tunesië</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Zweden</v>
      </c>
      <c r="DX42" s="198">
        <f t="shared" si="53"/>
        <v>44</v>
      </c>
      <c r="DY42" s="197" t="str">
        <f t="shared" si="609"/>
        <v>Tunesië</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Zweden</v>
      </c>
      <c r="EK42" s="198">
        <f t="shared" si="56"/>
        <v>44</v>
      </c>
      <c r="EL42" s="197" t="str">
        <f t="shared" si="613"/>
        <v>Tunesië</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Zweden</v>
      </c>
      <c r="EX42" s="198">
        <f t="shared" si="59"/>
        <v>44</v>
      </c>
      <c r="EY42" s="197" t="str">
        <f t="shared" si="617"/>
        <v>Tunesië</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Zweden</v>
      </c>
      <c r="FK42" s="198">
        <f t="shared" si="62"/>
        <v>44</v>
      </c>
      <c r="FL42" s="197" t="str">
        <f t="shared" si="621"/>
        <v>Tunesië</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Zweden</v>
      </c>
      <c r="FX42" s="198">
        <f t="shared" si="65"/>
        <v>44</v>
      </c>
      <c r="FY42" s="197" t="str">
        <f t="shared" si="625"/>
        <v>Tunesië</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Zweden</v>
      </c>
      <c r="GK42" s="198">
        <f t="shared" si="68"/>
        <v>44</v>
      </c>
      <c r="GL42" s="197" t="str">
        <f t="shared" si="629"/>
        <v>Tunesië</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Zweden</v>
      </c>
      <c r="GX42" s="198">
        <f t="shared" si="71"/>
        <v>44</v>
      </c>
      <c r="GY42" s="197" t="str">
        <f t="shared" si="633"/>
        <v>Tunesië</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Zweden</v>
      </c>
      <c r="HK42" s="198">
        <f t="shared" si="74"/>
        <v>44</v>
      </c>
      <c r="HL42" s="197" t="str">
        <f t="shared" si="637"/>
        <v>Tunesië</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Zweden</v>
      </c>
      <c r="HX42" s="198">
        <f t="shared" si="77"/>
        <v>44</v>
      </c>
      <c r="HY42" s="197" t="str">
        <f t="shared" si="641"/>
        <v>Tunesië</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Zweden</v>
      </c>
      <c r="IK42" s="198">
        <f t="shared" si="80"/>
        <v>44</v>
      </c>
      <c r="IL42" s="197" t="str">
        <f t="shared" si="645"/>
        <v>Tunesië</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Zweden</v>
      </c>
      <c r="IX42" s="198">
        <f t="shared" si="83"/>
        <v>44</v>
      </c>
      <c r="IY42" s="197" t="str">
        <f t="shared" si="649"/>
        <v>Tunesië</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Zweden</v>
      </c>
      <c r="JK42" s="198">
        <f t="shared" si="86"/>
        <v>44</v>
      </c>
      <c r="JL42" s="197" t="str">
        <f t="shared" si="653"/>
        <v>Tunesië</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Zweden</v>
      </c>
      <c r="JX42" s="198">
        <f t="shared" si="89"/>
        <v>44</v>
      </c>
      <c r="JY42" s="197" t="str">
        <f t="shared" si="657"/>
        <v>Tunesië</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Zweden</v>
      </c>
      <c r="KK42" s="198">
        <f t="shared" si="92"/>
        <v>44</v>
      </c>
      <c r="KL42" s="197" t="str">
        <f t="shared" si="661"/>
        <v>Tunesië</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Zweden</v>
      </c>
      <c r="KX42" s="198">
        <f t="shared" si="95"/>
        <v>44</v>
      </c>
      <c r="KY42" s="197" t="str">
        <f t="shared" si="665"/>
        <v>Tunesië</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Zweden</v>
      </c>
      <c r="LK42" s="198">
        <f t="shared" si="98"/>
        <v>44</v>
      </c>
      <c r="LL42" s="197" t="str">
        <f t="shared" si="669"/>
        <v>Tunesië</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Zweden</v>
      </c>
      <c r="LX42" s="198">
        <f t="shared" si="101"/>
        <v>44</v>
      </c>
      <c r="LY42" s="197" t="str">
        <f t="shared" si="673"/>
        <v>Tunesië</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c r="B43" s="196">
        <f>INDEX(Groups!$C$7:$C$65,MATCH(C43,Groups!$D$7:$D$65,0))</f>
        <v>7</v>
      </c>
      <c r="C43" s="197" t="str">
        <f>CalcF!$P$24</f>
        <v>Nederland</v>
      </c>
      <c r="D43" s="198">
        <f>INDEX(Groups!$C$7:$C$65,MATCH(E43,Groups!$D$7:$D$65,0))</f>
        <v>38</v>
      </c>
      <c r="E43" s="197" t="str">
        <f>CalcF!$Q$24</f>
        <v>Zweden</v>
      </c>
      <c r="F43" s="199" t="str">
        <f>CalcF!$R$24</f>
        <v/>
      </c>
      <c r="G43" s="200" t="str">
        <f>CalcF!$S$24</f>
        <v/>
      </c>
      <c r="I43" s="196">
        <f t="shared" si="0"/>
        <v>7</v>
      </c>
      <c r="J43" s="197" t="str">
        <f t="shared" si="572"/>
        <v>Nederland</v>
      </c>
      <c r="K43" s="198">
        <f t="shared" si="26"/>
        <v>38</v>
      </c>
      <c r="L43" s="197" t="str">
        <f t="shared" si="573"/>
        <v>Zweden</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Nederland</v>
      </c>
      <c r="X43" s="198">
        <f t="shared" si="29"/>
        <v>38</v>
      </c>
      <c r="Y43" s="197" t="str">
        <f t="shared" si="577"/>
        <v>Zweden</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Nederland</v>
      </c>
      <c r="AK43" s="198">
        <f t="shared" si="32"/>
        <v>38</v>
      </c>
      <c r="AL43" s="197" t="str">
        <f t="shared" si="581"/>
        <v>Zweden</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Nederland</v>
      </c>
      <c r="AX43" s="198">
        <f t="shared" si="35"/>
        <v>38</v>
      </c>
      <c r="AY43" s="197" t="str">
        <f t="shared" si="585"/>
        <v>Zweden</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Nederland</v>
      </c>
      <c r="BK43" s="198">
        <f t="shared" si="38"/>
        <v>38</v>
      </c>
      <c r="BL43" s="197" t="str">
        <f t="shared" si="589"/>
        <v>Zweden</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Nederland</v>
      </c>
      <c r="BX43" s="198">
        <f t="shared" si="41"/>
        <v>38</v>
      </c>
      <c r="BY43" s="197" t="str">
        <f t="shared" si="593"/>
        <v>Zweden</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Nederland</v>
      </c>
      <c r="CK43" s="198">
        <f t="shared" si="44"/>
        <v>38</v>
      </c>
      <c r="CL43" s="197" t="str">
        <f t="shared" si="597"/>
        <v>Zweden</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Nederland</v>
      </c>
      <c r="CX43" s="198">
        <f t="shared" si="47"/>
        <v>38</v>
      </c>
      <c r="CY43" s="197" t="str">
        <f t="shared" si="601"/>
        <v>Zweden</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Nederland</v>
      </c>
      <c r="DK43" s="198">
        <f t="shared" si="50"/>
        <v>38</v>
      </c>
      <c r="DL43" s="197" t="str">
        <f t="shared" si="605"/>
        <v>Zweden</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Nederland</v>
      </c>
      <c r="DX43" s="198">
        <f t="shared" si="53"/>
        <v>38</v>
      </c>
      <c r="DY43" s="197" t="str">
        <f t="shared" si="609"/>
        <v>Zweden</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Nederland</v>
      </c>
      <c r="EK43" s="198">
        <f t="shared" si="56"/>
        <v>38</v>
      </c>
      <c r="EL43" s="197" t="str">
        <f t="shared" si="613"/>
        <v>Zweden</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Nederland</v>
      </c>
      <c r="EX43" s="198">
        <f t="shared" si="59"/>
        <v>38</v>
      </c>
      <c r="EY43" s="197" t="str">
        <f t="shared" si="617"/>
        <v>Zweden</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Nederland</v>
      </c>
      <c r="FK43" s="198">
        <f t="shared" si="62"/>
        <v>38</v>
      </c>
      <c r="FL43" s="197" t="str">
        <f t="shared" si="621"/>
        <v>Zweden</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Nederland</v>
      </c>
      <c r="FX43" s="198">
        <f t="shared" si="65"/>
        <v>38</v>
      </c>
      <c r="FY43" s="197" t="str">
        <f t="shared" si="625"/>
        <v>Zweden</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Nederland</v>
      </c>
      <c r="GK43" s="198">
        <f t="shared" si="68"/>
        <v>38</v>
      </c>
      <c r="GL43" s="197" t="str">
        <f t="shared" si="629"/>
        <v>Zweden</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Nederland</v>
      </c>
      <c r="GX43" s="198">
        <f t="shared" si="71"/>
        <v>38</v>
      </c>
      <c r="GY43" s="197" t="str">
        <f t="shared" si="633"/>
        <v>Zweden</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Nederland</v>
      </c>
      <c r="HK43" s="198">
        <f t="shared" si="74"/>
        <v>38</v>
      </c>
      <c r="HL43" s="197" t="str">
        <f t="shared" si="637"/>
        <v>Zweden</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Nederland</v>
      </c>
      <c r="HX43" s="198">
        <f t="shared" si="77"/>
        <v>38</v>
      </c>
      <c r="HY43" s="197" t="str">
        <f t="shared" si="641"/>
        <v>Zweden</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Nederland</v>
      </c>
      <c r="IK43" s="198">
        <f t="shared" si="80"/>
        <v>38</v>
      </c>
      <c r="IL43" s="197" t="str">
        <f t="shared" si="645"/>
        <v>Zweden</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Nederland</v>
      </c>
      <c r="IX43" s="198">
        <f t="shared" si="83"/>
        <v>38</v>
      </c>
      <c r="IY43" s="197" t="str">
        <f t="shared" si="649"/>
        <v>Zweden</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Nederland</v>
      </c>
      <c r="JK43" s="198">
        <f t="shared" si="86"/>
        <v>38</v>
      </c>
      <c r="JL43" s="197" t="str">
        <f t="shared" si="653"/>
        <v>Zweden</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Nederland</v>
      </c>
      <c r="JX43" s="198">
        <f t="shared" si="89"/>
        <v>38</v>
      </c>
      <c r="JY43" s="197" t="str">
        <f t="shared" si="657"/>
        <v>Zweden</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Nederland</v>
      </c>
      <c r="KK43" s="198">
        <f t="shared" si="92"/>
        <v>38</v>
      </c>
      <c r="KL43" s="197" t="str">
        <f t="shared" si="661"/>
        <v>Zweden</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Nederland</v>
      </c>
      <c r="KX43" s="198">
        <f t="shared" si="95"/>
        <v>38</v>
      </c>
      <c r="KY43" s="197" t="str">
        <f t="shared" si="665"/>
        <v>Zweden</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Nederland</v>
      </c>
      <c r="LK43" s="198">
        <f t="shared" si="98"/>
        <v>38</v>
      </c>
      <c r="LL43" s="197" t="str">
        <f t="shared" si="669"/>
        <v>Zweden</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Nederland</v>
      </c>
      <c r="LX43" s="198">
        <f t="shared" si="101"/>
        <v>38</v>
      </c>
      <c r="LY43" s="197" t="str">
        <f t="shared" si="673"/>
        <v>Zweden</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c r="B44" s="196">
        <f>INDEX(Groups!$C$7:$C$65,MATCH(C44,Groups!$D$7:$D$65,0))</f>
        <v>44</v>
      </c>
      <c r="C44" s="197" t="str">
        <f>CalcF!$P$25</f>
        <v>Tunesië</v>
      </c>
      <c r="D44" s="198">
        <f>INDEX(Groups!$C$7:$C$65,MATCH(E44,Groups!$D$7:$D$65,0))</f>
        <v>18</v>
      </c>
      <c r="E44" s="197" t="str">
        <f>CalcF!$Q$25</f>
        <v>Japan</v>
      </c>
      <c r="F44" s="199" t="str">
        <f>CalcF!$R$25</f>
        <v/>
      </c>
      <c r="G44" s="200" t="str">
        <f>CalcF!$S$25</f>
        <v/>
      </c>
      <c r="I44" s="196">
        <f t="shared" si="0"/>
        <v>44</v>
      </c>
      <c r="J44" s="197" t="str">
        <f t="shared" si="572"/>
        <v>Tunesië</v>
      </c>
      <c r="K44" s="198">
        <f t="shared" si="26"/>
        <v>18</v>
      </c>
      <c r="L44" s="197" t="str">
        <f t="shared" si="573"/>
        <v>Japan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Tunesië</v>
      </c>
      <c r="X44" s="198">
        <f t="shared" si="29"/>
        <v>18</v>
      </c>
      <c r="Y44" s="197" t="str">
        <f t="shared" si="577"/>
        <v>Japan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Tunesië</v>
      </c>
      <c r="AK44" s="198">
        <f t="shared" si="32"/>
        <v>18</v>
      </c>
      <c r="AL44" s="197" t="str">
        <f t="shared" si="581"/>
        <v>Japan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Tunesië</v>
      </c>
      <c r="AX44" s="198">
        <f t="shared" si="35"/>
        <v>18</v>
      </c>
      <c r="AY44" s="197" t="str">
        <f t="shared" si="585"/>
        <v>Japan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Tunesië</v>
      </c>
      <c r="BK44" s="198">
        <f t="shared" si="38"/>
        <v>18</v>
      </c>
      <c r="BL44" s="197" t="str">
        <f t="shared" si="589"/>
        <v>Japan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Tunesië</v>
      </c>
      <c r="BX44" s="198">
        <f t="shared" si="41"/>
        <v>18</v>
      </c>
      <c r="BY44" s="197" t="str">
        <f t="shared" si="593"/>
        <v>Japan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Tunesië</v>
      </c>
      <c r="CK44" s="198">
        <f t="shared" si="44"/>
        <v>18</v>
      </c>
      <c r="CL44" s="197" t="str">
        <f t="shared" si="597"/>
        <v>Japan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Tunesië</v>
      </c>
      <c r="CX44" s="198">
        <f t="shared" si="47"/>
        <v>18</v>
      </c>
      <c r="CY44" s="197" t="str">
        <f t="shared" si="601"/>
        <v>Japan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Tunesië</v>
      </c>
      <c r="DK44" s="198">
        <f t="shared" si="50"/>
        <v>18</v>
      </c>
      <c r="DL44" s="197" t="str">
        <f t="shared" si="605"/>
        <v>Japan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Tunesië</v>
      </c>
      <c r="DX44" s="198">
        <f t="shared" si="53"/>
        <v>18</v>
      </c>
      <c r="DY44" s="197" t="str">
        <f t="shared" si="609"/>
        <v>Japan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Tunesië</v>
      </c>
      <c r="EK44" s="198">
        <f t="shared" si="56"/>
        <v>18</v>
      </c>
      <c r="EL44" s="197" t="str">
        <f t="shared" si="613"/>
        <v>Japan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Tunesië</v>
      </c>
      <c r="EX44" s="198">
        <f t="shared" si="59"/>
        <v>18</v>
      </c>
      <c r="EY44" s="197" t="str">
        <f t="shared" si="617"/>
        <v>Japan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Tunesië</v>
      </c>
      <c r="FK44" s="198">
        <f t="shared" si="62"/>
        <v>18</v>
      </c>
      <c r="FL44" s="197" t="str">
        <f t="shared" si="621"/>
        <v>Japan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Tunesië</v>
      </c>
      <c r="FX44" s="198">
        <f t="shared" si="65"/>
        <v>18</v>
      </c>
      <c r="FY44" s="197" t="str">
        <f t="shared" si="625"/>
        <v>Japan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Tunesië</v>
      </c>
      <c r="GK44" s="198">
        <f t="shared" si="68"/>
        <v>18</v>
      </c>
      <c r="GL44" s="197" t="str">
        <f t="shared" si="629"/>
        <v>Japan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Tunesië</v>
      </c>
      <c r="GX44" s="198">
        <f t="shared" si="71"/>
        <v>18</v>
      </c>
      <c r="GY44" s="197" t="str">
        <f t="shared" si="633"/>
        <v>Japan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Tunesië</v>
      </c>
      <c r="HK44" s="198">
        <f t="shared" si="74"/>
        <v>18</v>
      </c>
      <c r="HL44" s="197" t="str">
        <f t="shared" si="637"/>
        <v>Japan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Tunesië</v>
      </c>
      <c r="HX44" s="198">
        <f t="shared" si="77"/>
        <v>18</v>
      </c>
      <c r="HY44" s="197" t="str">
        <f t="shared" si="641"/>
        <v>Japan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Tunesië</v>
      </c>
      <c r="IK44" s="198">
        <f t="shared" si="80"/>
        <v>18</v>
      </c>
      <c r="IL44" s="197" t="str">
        <f t="shared" si="645"/>
        <v>Japan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Tunesië</v>
      </c>
      <c r="IX44" s="198">
        <f t="shared" si="83"/>
        <v>18</v>
      </c>
      <c r="IY44" s="197" t="str">
        <f t="shared" si="649"/>
        <v>Japan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Tunesië</v>
      </c>
      <c r="JK44" s="198">
        <f t="shared" si="86"/>
        <v>18</v>
      </c>
      <c r="JL44" s="197" t="str">
        <f t="shared" si="653"/>
        <v>Japan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Tunesië</v>
      </c>
      <c r="JX44" s="198">
        <f t="shared" si="89"/>
        <v>18</v>
      </c>
      <c r="JY44" s="197" t="str">
        <f t="shared" si="657"/>
        <v>Japan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Tunesië</v>
      </c>
      <c r="KK44" s="198">
        <f t="shared" si="92"/>
        <v>18</v>
      </c>
      <c r="KL44" s="197" t="str">
        <f t="shared" si="661"/>
        <v>Japan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Tunesië</v>
      </c>
      <c r="KX44" s="198">
        <f t="shared" si="95"/>
        <v>18</v>
      </c>
      <c r="KY44" s="197" t="str">
        <f t="shared" si="665"/>
        <v>Japan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Tunesië</v>
      </c>
      <c r="LK44" s="198">
        <f t="shared" si="98"/>
        <v>18</v>
      </c>
      <c r="LL44" s="197" t="str">
        <f t="shared" si="669"/>
        <v>Japan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Tunesië</v>
      </c>
      <c r="LX44" s="198">
        <f t="shared" si="101"/>
        <v>18</v>
      </c>
      <c r="LY44" s="197" t="str">
        <f t="shared" si="673"/>
        <v>Japan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c r="B45" s="196">
        <f>INDEX(Groups!$C$7:$C$65,MATCH(C45,Groups!$D$7:$D$65,0))</f>
        <v>18</v>
      </c>
      <c r="C45" s="197" t="str">
        <f>CalcF!$P$26</f>
        <v>Japan</v>
      </c>
      <c r="D45" s="198">
        <f>INDEX(Groups!$C$7:$C$65,MATCH(E45,Groups!$D$7:$D$65,0))</f>
        <v>38</v>
      </c>
      <c r="E45" s="197" t="str">
        <f>CalcF!$Q$26</f>
        <v>Zweden</v>
      </c>
      <c r="F45" s="199" t="str">
        <f>CalcF!$R$26</f>
        <v/>
      </c>
      <c r="G45" s="200" t="str">
        <f>CalcF!$S$26</f>
        <v/>
      </c>
      <c r="I45" s="196">
        <f t="shared" si="0"/>
        <v>18</v>
      </c>
      <c r="J45" s="197" t="str">
        <f t="shared" si="572"/>
        <v>Japan</v>
      </c>
      <c r="K45" s="198">
        <f t="shared" si="26"/>
        <v>38</v>
      </c>
      <c r="L45" s="197" t="str">
        <f t="shared" si="573"/>
        <v>Zweden</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Japan</v>
      </c>
      <c r="X45" s="198">
        <f t="shared" si="29"/>
        <v>38</v>
      </c>
      <c r="Y45" s="197" t="str">
        <f t="shared" si="577"/>
        <v>Zweden</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Japan</v>
      </c>
      <c r="AK45" s="198">
        <f t="shared" si="32"/>
        <v>38</v>
      </c>
      <c r="AL45" s="197" t="str">
        <f t="shared" si="581"/>
        <v>Zweden</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Japan</v>
      </c>
      <c r="AX45" s="198">
        <f t="shared" si="35"/>
        <v>38</v>
      </c>
      <c r="AY45" s="197" t="str">
        <f t="shared" si="585"/>
        <v>Zweden</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Japan</v>
      </c>
      <c r="BK45" s="198">
        <f t="shared" si="38"/>
        <v>38</v>
      </c>
      <c r="BL45" s="197" t="str">
        <f t="shared" si="589"/>
        <v>Zweden</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Japan</v>
      </c>
      <c r="BX45" s="198">
        <f t="shared" si="41"/>
        <v>38</v>
      </c>
      <c r="BY45" s="197" t="str">
        <f t="shared" si="593"/>
        <v>Zweden</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Japan</v>
      </c>
      <c r="CK45" s="198">
        <f t="shared" si="44"/>
        <v>38</v>
      </c>
      <c r="CL45" s="197" t="str">
        <f t="shared" si="597"/>
        <v>Zweden</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Japan</v>
      </c>
      <c r="CX45" s="198">
        <f t="shared" si="47"/>
        <v>38</v>
      </c>
      <c r="CY45" s="197" t="str">
        <f t="shared" si="601"/>
        <v>Zweden</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Japan</v>
      </c>
      <c r="DK45" s="198">
        <f t="shared" si="50"/>
        <v>38</v>
      </c>
      <c r="DL45" s="197" t="str">
        <f t="shared" si="605"/>
        <v>Zweden</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Japan</v>
      </c>
      <c r="DX45" s="198">
        <f t="shared" si="53"/>
        <v>38</v>
      </c>
      <c r="DY45" s="197" t="str">
        <f t="shared" si="609"/>
        <v>Zweden</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Japan</v>
      </c>
      <c r="EK45" s="198">
        <f t="shared" si="56"/>
        <v>38</v>
      </c>
      <c r="EL45" s="197" t="str">
        <f t="shared" si="613"/>
        <v>Zweden</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Japan</v>
      </c>
      <c r="EX45" s="198">
        <f t="shared" si="59"/>
        <v>38</v>
      </c>
      <c r="EY45" s="197" t="str">
        <f t="shared" si="617"/>
        <v>Zweden</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Japan</v>
      </c>
      <c r="FK45" s="198">
        <f t="shared" si="62"/>
        <v>38</v>
      </c>
      <c r="FL45" s="197" t="str">
        <f t="shared" si="621"/>
        <v>Zweden</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Japan</v>
      </c>
      <c r="FX45" s="198">
        <f t="shared" si="65"/>
        <v>38</v>
      </c>
      <c r="FY45" s="197" t="str">
        <f t="shared" si="625"/>
        <v>Zweden</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Japan</v>
      </c>
      <c r="GK45" s="198">
        <f t="shared" si="68"/>
        <v>38</v>
      </c>
      <c r="GL45" s="197" t="str">
        <f t="shared" si="629"/>
        <v>Zweden</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Japan</v>
      </c>
      <c r="GX45" s="198">
        <f t="shared" si="71"/>
        <v>38</v>
      </c>
      <c r="GY45" s="197" t="str">
        <f t="shared" si="633"/>
        <v>Zweden</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Japan</v>
      </c>
      <c r="HK45" s="198">
        <f t="shared" si="74"/>
        <v>38</v>
      </c>
      <c r="HL45" s="197" t="str">
        <f t="shared" si="637"/>
        <v>Zweden</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Japan</v>
      </c>
      <c r="HX45" s="198">
        <f t="shared" si="77"/>
        <v>38</v>
      </c>
      <c r="HY45" s="197" t="str">
        <f t="shared" si="641"/>
        <v>Zweden</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Japan</v>
      </c>
      <c r="IK45" s="198">
        <f t="shared" si="80"/>
        <v>38</v>
      </c>
      <c r="IL45" s="197" t="str">
        <f t="shared" si="645"/>
        <v>Zweden</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Japan</v>
      </c>
      <c r="IX45" s="198">
        <f t="shared" si="83"/>
        <v>38</v>
      </c>
      <c r="IY45" s="197" t="str">
        <f t="shared" si="649"/>
        <v>Zweden</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Japan</v>
      </c>
      <c r="JK45" s="198">
        <f t="shared" si="86"/>
        <v>38</v>
      </c>
      <c r="JL45" s="197" t="str">
        <f t="shared" si="653"/>
        <v>Zweden</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Japan</v>
      </c>
      <c r="JX45" s="198">
        <f t="shared" si="89"/>
        <v>38</v>
      </c>
      <c r="JY45" s="197" t="str">
        <f t="shared" si="657"/>
        <v>Zweden</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Japan</v>
      </c>
      <c r="KK45" s="198">
        <f t="shared" si="92"/>
        <v>38</v>
      </c>
      <c r="KL45" s="197" t="str">
        <f t="shared" si="661"/>
        <v>Zweden</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Japan</v>
      </c>
      <c r="KX45" s="198">
        <f t="shared" si="95"/>
        <v>38</v>
      </c>
      <c r="KY45" s="197" t="str">
        <f t="shared" si="665"/>
        <v>Zweden</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Japan</v>
      </c>
      <c r="LK45" s="198">
        <f t="shared" si="98"/>
        <v>38</v>
      </c>
      <c r="LL45" s="197" t="str">
        <f t="shared" si="669"/>
        <v>Zweden</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Japan</v>
      </c>
      <c r="LX45" s="198">
        <f t="shared" si="101"/>
        <v>38</v>
      </c>
      <c r="LY45" s="197" t="str">
        <f t="shared" si="673"/>
        <v>Zweden</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c r="B46" s="196">
        <f>INDEX(Groups!$C$7:$C$65,MATCH(C46,Groups!$D$7:$D$65,0))</f>
        <v>44</v>
      </c>
      <c r="C46" s="197" t="str">
        <f>CalcF!$P$27</f>
        <v>Tunesië</v>
      </c>
      <c r="D46" s="198">
        <f>INDEX(Groups!$C$7:$C$65,MATCH(E46,Groups!$D$7:$D$65,0))</f>
        <v>7</v>
      </c>
      <c r="E46" s="197" t="str">
        <f>CalcF!$Q$27</f>
        <v>Nederland</v>
      </c>
      <c r="F46" s="199" t="str">
        <f>CalcF!$R$27</f>
        <v/>
      </c>
      <c r="G46" s="200" t="str">
        <f>CalcF!$S$27</f>
        <v/>
      </c>
      <c r="I46" s="196">
        <f t="shared" si="0"/>
        <v>44</v>
      </c>
      <c r="J46" s="197" t="str">
        <f t="shared" si="572"/>
        <v>Tunesië</v>
      </c>
      <c r="K46" s="198">
        <f t="shared" si="26"/>
        <v>7</v>
      </c>
      <c r="L46" s="197" t="str">
        <f t="shared" si="573"/>
        <v>Nederland</v>
      </c>
      <c r="M46" s="232"/>
      <c r="N46" s="232"/>
      <c r="O46" s="473"/>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4"/>
      <c r="V46" s="196">
        <f t="shared" si="1"/>
        <v>44</v>
      </c>
      <c r="W46" s="197" t="str">
        <f t="shared" si="576"/>
        <v>Tunesië</v>
      </c>
      <c r="X46" s="198">
        <f t="shared" si="29"/>
        <v>7</v>
      </c>
      <c r="Y46" s="197" t="str">
        <f t="shared" si="577"/>
        <v>Nederland</v>
      </c>
      <c r="Z46" s="232"/>
      <c r="AA46" s="232"/>
      <c r="AB46" s="473"/>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4"/>
      <c r="AI46" s="196">
        <f t="shared" si="2"/>
        <v>44</v>
      </c>
      <c r="AJ46" s="197" t="str">
        <f t="shared" si="580"/>
        <v>Tunesië</v>
      </c>
      <c r="AK46" s="198">
        <f t="shared" si="32"/>
        <v>7</v>
      </c>
      <c r="AL46" s="197" t="str">
        <f t="shared" si="581"/>
        <v>Nederland</v>
      </c>
      <c r="AM46" s="232"/>
      <c r="AN46" s="232"/>
      <c r="AO46" s="473"/>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4"/>
      <c r="AV46" s="196">
        <f t="shared" si="3"/>
        <v>44</v>
      </c>
      <c r="AW46" s="197" t="str">
        <f t="shared" si="584"/>
        <v>Tunesië</v>
      </c>
      <c r="AX46" s="198">
        <f t="shared" si="35"/>
        <v>7</v>
      </c>
      <c r="AY46" s="197" t="str">
        <f t="shared" si="585"/>
        <v>Nederland</v>
      </c>
      <c r="AZ46" s="232"/>
      <c r="BA46" s="232"/>
      <c r="BB46" s="473"/>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4"/>
      <c r="BI46" s="196">
        <f t="shared" si="4"/>
        <v>44</v>
      </c>
      <c r="BJ46" s="197" t="str">
        <f t="shared" si="588"/>
        <v>Tunesië</v>
      </c>
      <c r="BK46" s="198">
        <f t="shared" si="38"/>
        <v>7</v>
      </c>
      <c r="BL46" s="197" t="str">
        <f t="shared" si="589"/>
        <v>Nederland</v>
      </c>
      <c r="BM46" s="232"/>
      <c r="BN46" s="232"/>
      <c r="BO46" s="473"/>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4"/>
      <c r="BV46" s="196">
        <f t="shared" si="5"/>
        <v>44</v>
      </c>
      <c r="BW46" s="197" t="str">
        <f t="shared" si="592"/>
        <v>Tunesië</v>
      </c>
      <c r="BX46" s="198">
        <f t="shared" si="41"/>
        <v>7</v>
      </c>
      <c r="BY46" s="197" t="str">
        <f t="shared" si="593"/>
        <v>Nederland</v>
      </c>
      <c r="BZ46" s="232"/>
      <c r="CA46" s="232"/>
      <c r="CB46" s="473"/>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4"/>
      <c r="CI46" s="196">
        <f t="shared" si="6"/>
        <v>44</v>
      </c>
      <c r="CJ46" s="197" t="str">
        <f t="shared" si="596"/>
        <v>Tunesië</v>
      </c>
      <c r="CK46" s="198">
        <f t="shared" si="44"/>
        <v>7</v>
      </c>
      <c r="CL46" s="197" t="str">
        <f t="shared" si="597"/>
        <v>Nederland</v>
      </c>
      <c r="CM46" s="232"/>
      <c r="CN46" s="232"/>
      <c r="CO46" s="473"/>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4"/>
      <c r="CV46" s="196">
        <f t="shared" si="7"/>
        <v>44</v>
      </c>
      <c r="CW46" s="197" t="str">
        <f t="shared" si="600"/>
        <v>Tunesië</v>
      </c>
      <c r="CX46" s="198">
        <f t="shared" si="47"/>
        <v>7</v>
      </c>
      <c r="CY46" s="197" t="str">
        <f t="shared" si="601"/>
        <v>Nederland</v>
      </c>
      <c r="CZ46" s="232"/>
      <c r="DA46" s="232"/>
      <c r="DB46" s="473"/>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4"/>
      <c r="DI46" s="196">
        <f t="shared" si="8"/>
        <v>44</v>
      </c>
      <c r="DJ46" s="197" t="str">
        <f t="shared" si="604"/>
        <v>Tunesië</v>
      </c>
      <c r="DK46" s="198">
        <f t="shared" si="50"/>
        <v>7</v>
      </c>
      <c r="DL46" s="197" t="str">
        <f t="shared" si="605"/>
        <v>Nederland</v>
      </c>
      <c r="DM46" s="232"/>
      <c r="DN46" s="232"/>
      <c r="DO46" s="473"/>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4"/>
      <c r="DV46" s="196">
        <f t="shared" si="9"/>
        <v>44</v>
      </c>
      <c r="DW46" s="197" t="str">
        <f t="shared" si="608"/>
        <v>Tunesië</v>
      </c>
      <c r="DX46" s="198">
        <f t="shared" si="53"/>
        <v>7</v>
      </c>
      <c r="DY46" s="197" t="str">
        <f t="shared" si="609"/>
        <v>Nederland</v>
      </c>
      <c r="DZ46" s="232"/>
      <c r="EA46" s="232"/>
      <c r="EB46" s="473"/>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4"/>
      <c r="EI46" s="196">
        <f t="shared" si="10"/>
        <v>44</v>
      </c>
      <c r="EJ46" s="197" t="str">
        <f t="shared" si="612"/>
        <v>Tunesië</v>
      </c>
      <c r="EK46" s="198">
        <f t="shared" si="56"/>
        <v>7</v>
      </c>
      <c r="EL46" s="197" t="str">
        <f t="shared" si="613"/>
        <v>Nederland</v>
      </c>
      <c r="EM46" s="232"/>
      <c r="EN46" s="232"/>
      <c r="EO46" s="473"/>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4"/>
      <c r="EV46" s="196">
        <f t="shared" si="11"/>
        <v>44</v>
      </c>
      <c r="EW46" s="197" t="str">
        <f t="shared" si="616"/>
        <v>Tunesië</v>
      </c>
      <c r="EX46" s="198">
        <f t="shared" si="59"/>
        <v>7</v>
      </c>
      <c r="EY46" s="197" t="str">
        <f t="shared" si="617"/>
        <v>Nederland</v>
      </c>
      <c r="EZ46" s="232"/>
      <c r="FA46" s="232"/>
      <c r="FB46" s="473"/>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4"/>
      <c r="FI46" s="196">
        <f t="shared" si="12"/>
        <v>44</v>
      </c>
      <c r="FJ46" s="197" t="str">
        <f t="shared" si="620"/>
        <v>Tunesië</v>
      </c>
      <c r="FK46" s="198">
        <f t="shared" si="62"/>
        <v>7</v>
      </c>
      <c r="FL46" s="197" t="str">
        <f t="shared" si="621"/>
        <v>Nederland</v>
      </c>
      <c r="FM46" s="232"/>
      <c r="FN46" s="232"/>
      <c r="FO46" s="473"/>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4"/>
      <c r="FV46" s="196">
        <f t="shared" si="13"/>
        <v>44</v>
      </c>
      <c r="FW46" s="197" t="str">
        <f t="shared" si="624"/>
        <v>Tunesië</v>
      </c>
      <c r="FX46" s="198">
        <f t="shared" si="65"/>
        <v>7</v>
      </c>
      <c r="FY46" s="197" t="str">
        <f t="shared" si="625"/>
        <v>Nederland</v>
      </c>
      <c r="FZ46" s="232"/>
      <c r="GA46" s="232"/>
      <c r="GB46" s="473"/>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4"/>
      <c r="GI46" s="196">
        <f t="shared" si="14"/>
        <v>44</v>
      </c>
      <c r="GJ46" s="197" t="str">
        <f t="shared" si="628"/>
        <v>Tunesië</v>
      </c>
      <c r="GK46" s="198">
        <f t="shared" si="68"/>
        <v>7</v>
      </c>
      <c r="GL46" s="197" t="str">
        <f t="shared" si="629"/>
        <v>Nederland</v>
      </c>
      <c r="GM46" s="232"/>
      <c r="GN46" s="232"/>
      <c r="GO46" s="473"/>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4"/>
      <c r="GV46" s="196">
        <f t="shared" si="15"/>
        <v>44</v>
      </c>
      <c r="GW46" s="197" t="str">
        <f t="shared" si="632"/>
        <v>Tunesië</v>
      </c>
      <c r="GX46" s="198">
        <f t="shared" si="71"/>
        <v>7</v>
      </c>
      <c r="GY46" s="197" t="str">
        <f t="shared" si="633"/>
        <v>Nederland</v>
      </c>
      <c r="GZ46" s="232"/>
      <c r="HA46" s="232"/>
      <c r="HB46" s="473"/>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4"/>
      <c r="HI46" s="196">
        <f t="shared" si="16"/>
        <v>44</v>
      </c>
      <c r="HJ46" s="197" t="str">
        <f t="shared" si="636"/>
        <v>Tunesië</v>
      </c>
      <c r="HK46" s="198">
        <f t="shared" si="74"/>
        <v>7</v>
      </c>
      <c r="HL46" s="197" t="str">
        <f t="shared" si="637"/>
        <v>Nederland</v>
      </c>
      <c r="HM46" s="232"/>
      <c r="HN46" s="232"/>
      <c r="HO46" s="473"/>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4"/>
      <c r="HV46" s="196">
        <f t="shared" si="17"/>
        <v>44</v>
      </c>
      <c r="HW46" s="197" t="str">
        <f t="shared" si="640"/>
        <v>Tunesië</v>
      </c>
      <c r="HX46" s="198">
        <f t="shared" si="77"/>
        <v>7</v>
      </c>
      <c r="HY46" s="197" t="str">
        <f t="shared" si="641"/>
        <v>Nederland</v>
      </c>
      <c r="HZ46" s="232"/>
      <c r="IA46" s="232"/>
      <c r="IB46" s="473"/>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4"/>
      <c r="II46" s="196">
        <f t="shared" si="18"/>
        <v>44</v>
      </c>
      <c r="IJ46" s="197" t="str">
        <f t="shared" si="644"/>
        <v>Tunesië</v>
      </c>
      <c r="IK46" s="198">
        <f t="shared" si="80"/>
        <v>7</v>
      </c>
      <c r="IL46" s="197" t="str">
        <f t="shared" si="645"/>
        <v>Nederland</v>
      </c>
      <c r="IM46" s="232"/>
      <c r="IN46" s="232"/>
      <c r="IO46" s="473"/>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4"/>
      <c r="IV46" s="196">
        <f t="shared" si="19"/>
        <v>44</v>
      </c>
      <c r="IW46" s="197" t="str">
        <f t="shared" si="648"/>
        <v>Tunesië</v>
      </c>
      <c r="IX46" s="198">
        <f t="shared" si="83"/>
        <v>7</v>
      </c>
      <c r="IY46" s="197" t="str">
        <f t="shared" si="649"/>
        <v>Nederland</v>
      </c>
      <c r="IZ46" s="232"/>
      <c r="JA46" s="232"/>
      <c r="JB46" s="473"/>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4"/>
      <c r="JI46" s="196">
        <f t="shared" si="20"/>
        <v>44</v>
      </c>
      <c r="JJ46" s="197" t="str">
        <f t="shared" si="652"/>
        <v>Tunesië</v>
      </c>
      <c r="JK46" s="198">
        <f t="shared" si="86"/>
        <v>7</v>
      </c>
      <c r="JL46" s="197" t="str">
        <f t="shared" si="653"/>
        <v>Nederland</v>
      </c>
      <c r="JM46" s="232"/>
      <c r="JN46" s="232"/>
      <c r="JO46" s="473"/>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4"/>
      <c r="JV46" s="196">
        <f t="shared" si="21"/>
        <v>44</v>
      </c>
      <c r="JW46" s="197" t="str">
        <f t="shared" si="656"/>
        <v>Tunesië</v>
      </c>
      <c r="JX46" s="198">
        <f t="shared" si="89"/>
        <v>7</v>
      </c>
      <c r="JY46" s="197" t="str">
        <f t="shared" si="657"/>
        <v>Nederland</v>
      </c>
      <c r="JZ46" s="232"/>
      <c r="KA46" s="232"/>
      <c r="KB46" s="473"/>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4"/>
      <c r="KI46" s="196">
        <f t="shared" si="22"/>
        <v>44</v>
      </c>
      <c r="KJ46" s="197" t="str">
        <f t="shared" si="660"/>
        <v>Tunesië</v>
      </c>
      <c r="KK46" s="198">
        <f t="shared" si="92"/>
        <v>7</v>
      </c>
      <c r="KL46" s="197" t="str">
        <f t="shared" si="661"/>
        <v>Nederland</v>
      </c>
      <c r="KM46" s="232"/>
      <c r="KN46" s="232"/>
      <c r="KO46" s="473"/>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4"/>
      <c r="KV46" s="196">
        <f t="shared" si="23"/>
        <v>44</v>
      </c>
      <c r="KW46" s="197" t="str">
        <f t="shared" si="664"/>
        <v>Tunesië</v>
      </c>
      <c r="KX46" s="198">
        <f t="shared" si="95"/>
        <v>7</v>
      </c>
      <c r="KY46" s="197" t="str">
        <f t="shared" si="665"/>
        <v>Nederland</v>
      </c>
      <c r="KZ46" s="232"/>
      <c r="LA46" s="232"/>
      <c r="LB46" s="473"/>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4"/>
      <c r="LI46" s="196">
        <f t="shared" si="24"/>
        <v>44</v>
      </c>
      <c r="LJ46" s="197" t="str">
        <f t="shared" si="668"/>
        <v>Tunesië</v>
      </c>
      <c r="LK46" s="198">
        <f t="shared" si="98"/>
        <v>7</v>
      </c>
      <c r="LL46" s="197" t="str">
        <f t="shared" si="669"/>
        <v>Nederland</v>
      </c>
      <c r="LM46" s="232"/>
      <c r="LN46" s="232"/>
      <c r="LO46" s="473"/>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4"/>
      <c r="LV46" s="196">
        <f t="shared" si="25"/>
        <v>44</v>
      </c>
      <c r="LW46" s="197" t="str">
        <f t="shared" si="672"/>
        <v>Tunesië</v>
      </c>
      <c r="LX46" s="198">
        <f t="shared" si="101"/>
        <v>7</v>
      </c>
      <c r="LY46" s="197" t="str">
        <f t="shared" si="673"/>
        <v>Nederland</v>
      </c>
      <c r="LZ46" s="232"/>
      <c r="MA46" s="232"/>
      <c r="MB46" s="473"/>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4"/>
    </row>
    <row r="47" spans="1:345" ht="24" customHeight="1">
      <c r="A47" s="195"/>
      <c r="B47" s="205" t="str">
        <f>Language!$E$130&amp;" G"</f>
        <v>Groep G</v>
      </c>
      <c r="C47" s="206"/>
      <c r="D47" s="207"/>
      <c r="E47" s="208"/>
      <c r="F47" s="209"/>
      <c r="G47" s="210"/>
      <c r="I47" s="205" t="str">
        <f t="shared" si="0"/>
        <v>Groep G</v>
      </c>
      <c r="J47" s="207"/>
      <c r="K47" s="207"/>
      <c r="L47" s="208"/>
      <c r="M47" s="236"/>
      <c r="N47" s="237"/>
      <c r="O47" s="209"/>
      <c r="P47" s="220"/>
      <c r="Q47" s="220"/>
      <c r="R47" s="208"/>
      <c r="S47" s="208"/>
      <c r="T47" s="221"/>
      <c r="V47" s="205" t="str">
        <f t="shared" si="1"/>
        <v>Groep G</v>
      </c>
      <c r="W47" s="207"/>
      <c r="X47" s="207"/>
      <c r="Y47" s="208"/>
      <c r="Z47" s="236"/>
      <c r="AA47" s="237"/>
      <c r="AB47" s="209"/>
      <c r="AC47" s="220"/>
      <c r="AD47" s="220"/>
      <c r="AE47" s="208"/>
      <c r="AF47" s="208"/>
      <c r="AG47" s="221"/>
      <c r="AI47" s="205" t="str">
        <f t="shared" si="2"/>
        <v>Groep G</v>
      </c>
      <c r="AJ47" s="207"/>
      <c r="AK47" s="207"/>
      <c r="AL47" s="208"/>
      <c r="AM47" s="236"/>
      <c r="AN47" s="237"/>
      <c r="AO47" s="209"/>
      <c r="AP47" s="220"/>
      <c r="AQ47" s="220"/>
      <c r="AR47" s="208"/>
      <c r="AS47" s="208"/>
      <c r="AT47" s="221"/>
      <c r="AV47" s="205" t="str">
        <f t="shared" si="3"/>
        <v>Groep G</v>
      </c>
      <c r="AW47" s="207"/>
      <c r="AX47" s="207"/>
      <c r="AY47" s="208"/>
      <c r="AZ47" s="236"/>
      <c r="BA47" s="237"/>
      <c r="BB47" s="209"/>
      <c r="BC47" s="220"/>
      <c r="BD47" s="220"/>
      <c r="BE47" s="208"/>
      <c r="BF47" s="208"/>
      <c r="BG47" s="221"/>
      <c r="BI47" s="205" t="str">
        <f t="shared" si="4"/>
        <v>Groep G</v>
      </c>
      <c r="BJ47" s="207"/>
      <c r="BK47" s="207"/>
      <c r="BL47" s="208"/>
      <c r="BM47" s="236"/>
      <c r="BN47" s="237"/>
      <c r="BO47" s="209"/>
      <c r="BP47" s="220"/>
      <c r="BQ47" s="220"/>
      <c r="BR47" s="208"/>
      <c r="BS47" s="208"/>
      <c r="BT47" s="221"/>
      <c r="BV47" s="205" t="str">
        <f t="shared" si="5"/>
        <v>Groep G</v>
      </c>
      <c r="BW47" s="207"/>
      <c r="BX47" s="207"/>
      <c r="BY47" s="208"/>
      <c r="BZ47" s="236"/>
      <c r="CA47" s="237"/>
      <c r="CB47" s="209"/>
      <c r="CC47" s="220"/>
      <c r="CD47" s="220"/>
      <c r="CE47" s="208"/>
      <c r="CF47" s="208"/>
      <c r="CG47" s="221"/>
      <c r="CI47" s="205" t="str">
        <f t="shared" si="6"/>
        <v>Groep G</v>
      </c>
      <c r="CJ47" s="207"/>
      <c r="CK47" s="207"/>
      <c r="CL47" s="208"/>
      <c r="CM47" s="236"/>
      <c r="CN47" s="237"/>
      <c r="CO47" s="209"/>
      <c r="CP47" s="220"/>
      <c r="CQ47" s="220"/>
      <c r="CR47" s="208"/>
      <c r="CS47" s="208"/>
      <c r="CT47" s="221"/>
      <c r="CV47" s="205" t="str">
        <f t="shared" si="7"/>
        <v>Groep G</v>
      </c>
      <c r="CW47" s="207"/>
      <c r="CX47" s="207"/>
      <c r="CY47" s="208"/>
      <c r="CZ47" s="236"/>
      <c r="DA47" s="237"/>
      <c r="DB47" s="209"/>
      <c r="DC47" s="220"/>
      <c r="DD47" s="220"/>
      <c r="DE47" s="208"/>
      <c r="DF47" s="208"/>
      <c r="DG47" s="221"/>
      <c r="DI47" s="205" t="str">
        <f t="shared" si="8"/>
        <v>Groep G</v>
      </c>
      <c r="DJ47" s="207"/>
      <c r="DK47" s="207"/>
      <c r="DL47" s="208"/>
      <c r="DM47" s="236"/>
      <c r="DN47" s="237"/>
      <c r="DO47" s="209"/>
      <c r="DP47" s="220"/>
      <c r="DQ47" s="220"/>
      <c r="DR47" s="208"/>
      <c r="DS47" s="208"/>
      <c r="DT47" s="221"/>
      <c r="DV47" s="205" t="str">
        <f t="shared" si="9"/>
        <v>Groep G</v>
      </c>
      <c r="DW47" s="207"/>
      <c r="DX47" s="207"/>
      <c r="DY47" s="208"/>
      <c r="DZ47" s="236"/>
      <c r="EA47" s="237"/>
      <c r="EB47" s="209"/>
      <c r="EC47" s="220"/>
      <c r="ED47" s="220"/>
      <c r="EE47" s="208"/>
      <c r="EF47" s="208"/>
      <c r="EG47" s="221"/>
      <c r="EI47" s="205" t="str">
        <f t="shared" si="10"/>
        <v>Groep G</v>
      </c>
      <c r="EJ47" s="207"/>
      <c r="EK47" s="207"/>
      <c r="EL47" s="208"/>
      <c r="EM47" s="236"/>
      <c r="EN47" s="237"/>
      <c r="EO47" s="209"/>
      <c r="EP47" s="220"/>
      <c r="EQ47" s="220"/>
      <c r="ER47" s="208"/>
      <c r="ES47" s="208"/>
      <c r="ET47" s="221"/>
      <c r="EV47" s="205" t="str">
        <f t="shared" si="11"/>
        <v>Groep G</v>
      </c>
      <c r="EW47" s="207"/>
      <c r="EX47" s="207"/>
      <c r="EY47" s="208"/>
      <c r="EZ47" s="236"/>
      <c r="FA47" s="237"/>
      <c r="FB47" s="209"/>
      <c r="FC47" s="220"/>
      <c r="FD47" s="220"/>
      <c r="FE47" s="208"/>
      <c r="FF47" s="208"/>
      <c r="FG47" s="221"/>
      <c r="FI47" s="205" t="str">
        <f t="shared" si="12"/>
        <v>Groep G</v>
      </c>
      <c r="FJ47" s="207"/>
      <c r="FK47" s="207"/>
      <c r="FL47" s="208"/>
      <c r="FM47" s="236"/>
      <c r="FN47" s="237"/>
      <c r="FO47" s="209"/>
      <c r="FP47" s="220"/>
      <c r="FQ47" s="220"/>
      <c r="FR47" s="208"/>
      <c r="FS47" s="208"/>
      <c r="FT47" s="221"/>
      <c r="FV47" s="205" t="str">
        <f t="shared" si="13"/>
        <v>Groep G</v>
      </c>
      <c r="FW47" s="207"/>
      <c r="FX47" s="207"/>
      <c r="FY47" s="208"/>
      <c r="FZ47" s="236"/>
      <c r="GA47" s="237"/>
      <c r="GB47" s="209"/>
      <c r="GC47" s="220"/>
      <c r="GD47" s="220"/>
      <c r="GE47" s="208"/>
      <c r="GF47" s="208"/>
      <c r="GG47" s="221"/>
      <c r="GI47" s="205" t="str">
        <f t="shared" si="14"/>
        <v>Groep G</v>
      </c>
      <c r="GJ47" s="207"/>
      <c r="GK47" s="207"/>
      <c r="GL47" s="208"/>
      <c r="GM47" s="236"/>
      <c r="GN47" s="237"/>
      <c r="GO47" s="209"/>
      <c r="GP47" s="220"/>
      <c r="GQ47" s="220"/>
      <c r="GR47" s="208"/>
      <c r="GS47" s="208"/>
      <c r="GT47" s="221"/>
      <c r="GV47" s="205" t="str">
        <f t="shared" si="15"/>
        <v>Groep G</v>
      </c>
      <c r="GW47" s="207"/>
      <c r="GX47" s="207"/>
      <c r="GY47" s="208"/>
      <c r="GZ47" s="236"/>
      <c r="HA47" s="237"/>
      <c r="HB47" s="209"/>
      <c r="HC47" s="220"/>
      <c r="HD47" s="220"/>
      <c r="HE47" s="208"/>
      <c r="HF47" s="208"/>
      <c r="HG47" s="221"/>
      <c r="HI47" s="205" t="str">
        <f t="shared" si="16"/>
        <v>Groep G</v>
      </c>
      <c r="HJ47" s="207"/>
      <c r="HK47" s="207"/>
      <c r="HL47" s="208"/>
      <c r="HM47" s="236"/>
      <c r="HN47" s="237"/>
      <c r="HO47" s="209"/>
      <c r="HP47" s="220"/>
      <c r="HQ47" s="220"/>
      <c r="HR47" s="208"/>
      <c r="HS47" s="208"/>
      <c r="HT47" s="221"/>
      <c r="HV47" s="205" t="str">
        <f t="shared" si="17"/>
        <v>Groep G</v>
      </c>
      <c r="HW47" s="207"/>
      <c r="HX47" s="207"/>
      <c r="HY47" s="208"/>
      <c r="HZ47" s="236"/>
      <c r="IA47" s="237"/>
      <c r="IB47" s="209"/>
      <c r="IC47" s="220"/>
      <c r="ID47" s="220"/>
      <c r="IE47" s="208"/>
      <c r="IF47" s="208"/>
      <c r="IG47" s="221"/>
      <c r="II47" s="205" t="str">
        <f t="shared" si="18"/>
        <v>Groep G</v>
      </c>
      <c r="IJ47" s="207"/>
      <c r="IK47" s="207"/>
      <c r="IL47" s="208"/>
      <c r="IM47" s="236"/>
      <c r="IN47" s="237"/>
      <c r="IO47" s="209"/>
      <c r="IP47" s="220"/>
      <c r="IQ47" s="220"/>
      <c r="IR47" s="208"/>
      <c r="IS47" s="208"/>
      <c r="IT47" s="221"/>
      <c r="IV47" s="205" t="str">
        <f t="shared" si="19"/>
        <v>Groep G</v>
      </c>
      <c r="IW47" s="207"/>
      <c r="IX47" s="207"/>
      <c r="IY47" s="208"/>
      <c r="IZ47" s="236"/>
      <c r="JA47" s="237"/>
      <c r="JB47" s="209"/>
      <c r="JC47" s="220"/>
      <c r="JD47" s="220"/>
      <c r="JE47" s="208"/>
      <c r="JF47" s="208"/>
      <c r="JG47" s="221"/>
      <c r="JI47" s="205" t="str">
        <f t="shared" si="20"/>
        <v>Groep G</v>
      </c>
      <c r="JJ47" s="207"/>
      <c r="JK47" s="207"/>
      <c r="JL47" s="208"/>
      <c r="JM47" s="236"/>
      <c r="JN47" s="237"/>
      <c r="JO47" s="209"/>
      <c r="JP47" s="220"/>
      <c r="JQ47" s="220"/>
      <c r="JR47" s="208"/>
      <c r="JS47" s="208"/>
      <c r="JT47" s="221"/>
      <c r="JV47" s="205" t="str">
        <f t="shared" si="21"/>
        <v>Groep G</v>
      </c>
      <c r="JW47" s="207"/>
      <c r="JX47" s="207"/>
      <c r="JY47" s="208"/>
      <c r="JZ47" s="236"/>
      <c r="KA47" s="237"/>
      <c r="KB47" s="209"/>
      <c r="KC47" s="220"/>
      <c r="KD47" s="220"/>
      <c r="KE47" s="208"/>
      <c r="KF47" s="208"/>
      <c r="KG47" s="221"/>
      <c r="KI47" s="205" t="str">
        <f t="shared" si="22"/>
        <v>Groep G</v>
      </c>
      <c r="KJ47" s="207"/>
      <c r="KK47" s="207"/>
      <c r="KL47" s="208"/>
      <c r="KM47" s="236"/>
      <c r="KN47" s="237"/>
      <c r="KO47" s="209"/>
      <c r="KP47" s="220"/>
      <c r="KQ47" s="220"/>
      <c r="KR47" s="208"/>
      <c r="KS47" s="208"/>
      <c r="KT47" s="221"/>
      <c r="KV47" s="205" t="str">
        <f t="shared" si="23"/>
        <v>Groep G</v>
      </c>
      <c r="KW47" s="207"/>
      <c r="KX47" s="207"/>
      <c r="KY47" s="208"/>
      <c r="KZ47" s="236"/>
      <c r="LA47" s="237"/>
      <c r="LB47" s="209"/>
      <c r="LC47" s="220"/>
      <c r="LD47" s="220"/>
      <c r="LE47" s="208"/>
      <c r="LF47" s="208"/>
      <c r="LG47" s="221"/>
      <c r="LI47" s="205" t="str">
        <f t="shared" si="24"/>
        <v>Groep G</v>
      </c>
      <c r="LJ47" s="207"/>
      <c r="LK47" s="207"/>
      <c r="LL47" s="208"/>
      <c r="LM47" s="236"/>
      <c r="LN47" s="237"/>
      <c r="LO47" s="209"/>
      <c r="LP47" s="220"/>
      <c r="LQ47" s="220"/>
      <c r="LR47" s="208"/>
      <c r="LS47" s="208"/>
      <c r="LT47" s="221"/>
      <c r="LV47" s="205" t="str">
        <f t="shared" si="25"/>
        <v>Groep G</v>
      </c>
      <c r="LW47" s="207"/>
      <c r="LX47" s="207"/>
      <c r="LY47" s="208"/>
      <c r="LZ47" s="236"/>
      <c r="MA47" s="237"/>
      <c r="MB47" s="209"/>
      <c r="MC47" s="220"/>
      <c r="MD47" s="220"/>
      <c r="ME47" s="208"/>
      <c r="MF47" s="208"/>
      <c r="MG47" s="221"/>
    </row>
    <row r="48" spans="1:345">
      <c r="B48" s="196">
        <f>INDEX(Groups!$C$7:$C$65,MATCH(C48,Groups!$D$7:$D$65,0))</f>
        <v>9</v>
      </c>
      <c r="C48" s="197" t="str">
        <f>CalcG!$P$22</f>
        <v>België</v>
      </c>
      <c r="D48" s="198">
        <f>INDEX(Groups!$C$7:$C$65,MATCH(E48,Groups!$D$7:$D$65,0))</f>
        <v>29</v>
      </c>
      <c r="E48" s="197" t="str">
        <f>CalcG!$Q$22</f>
        <v>Egypte</v>
      </c>
      <c r="F48" s="199" t="str">
        <f>CalcG!$R$22</f>
        <v/>
      </c>
      <c r="G48" s="200" t="str">
        <f>CalcG!$S$22</f>
        <v/>
      </c>
      <c r="I48" s="196">
        <f t="shared" si="0"/>
        <v>9</v>
      </c>
      <c r="J48" s="197" t="str">
        <f t="shared" ref="J48:J53" si="676">$C48</f>
        <v>België</v>
      </c>
      <c r="K48" s="198">
        <f t="shared" si="26"/>
        <v>29</v>
      </c>
      <c r="L48" s="197" t="str">
        <f t="shared" ref="L48:L53" si="677">$E48</f>
        <v>Egypte</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België</v>
      </c>
      <c r="X48" s="198">
        <f t="shared" si="29"/>
        <v>29</v>
      </c>
      <c r="Y48" s="197" t="str">
        <f t="shared" ref="Y48:Y53" si="681">$E48</f>
        <v>Egypte</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België</v>
      </c>
      <c r="AK48" s="198">
        <f t="shared" si="32"/>
        <v>29</v>
      </c>
      <c r="AL48" s="197" t="str">
        <f t="shared" ref="AL48:AL53" si="685">$E48</f>
        <v>Egypte</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België</v>
      </c>
      <c r="AX48" s="198">
        <f t="shared" si="35"/>
        <v>29</v>
      </c>
      <c r="AY48" s="197" t="str">
        <f t="shared" ref="AY48:AY53" si="689">$E48</f>
        <v>Egypte</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België</v>
      </c>
      <c r="BK48" s="198">
        <f t="shared" si="38"/>
        <v>29</v>
      </c>
      <c r="BL48" s="197" t="str">
        <f t="shared" ref="BL48:BL53" si="693">$E48</f>
        <v>Egypte</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België</v>
      </c>
      <c r="BX48" s="198">
        <f t="shared" si="41"/>
        <v>29</v>
      </c>
      <c r="BY48" s="197" t="str">
        <f t="shared" ref="BY48:BY53" si="697">$E48</f>
        <v>Egypte</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België</v>
      </c>
      <c r="CK48" s="198">
        <f t="shared" si="44"/>
        <v>29</v>
      </c>
      <c r="CL48" s="197" t="str">
        <f t="shared" ref="CL48:CL53" si="701">$E48</f>
        <v>Egypte</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België</v>
      </c>
      <c r="CX48" s="198">
        <f t="shared" si="47"/>
        <v>29</v>
      </c>
      <c r="CY48" s="197" t="str">
        <f t="shared" ref="CY48:CY53" si="705">$E48</f>
        <v>Egypte</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België</v>
      </c>
      <c r="DK48" s="198">
        <f t="shared" si="50"/>
        <v>29</v>
      </c>
      <c r="DL48" s="197" t="str">
        <f t="shared" ref="DL48:DL53" si="709">$E48</f>
        <v>Egypte</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België</v>
      </c>
      <c r="DX48" s="198">
        <f t="shared" si="53"/>
        <v>29</v>
      </c>
      <c r="DY48" s="197" t="str">
        <f t="shared" ref="DY48:DY53" si="713">$E48</f>
        <v>Egypte</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België</v>
      </c>
      <c r="EK48" s="198">
        <f t="shared" si="56"/>
        <v>29</v>
      </c>
      <c r="EL48" s="197" t="str">
        <f t="shared" ref="EL48:EL53" si="717">$E48</f>
        <v>Egypte</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België</v>
      </c>
      <c r="EX48" s="198">
        <f t="shared" si="59"/>
        <v>29</v>
      </c>
      <c r="EY48" s="197" t="str">
        <f t="shared" ref="EY48:EY53" si="721">$E48</f>
        <v>Egypte</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België</v>
      </c>
      <c r="FK48" s="198">
        <f t="shared" si="62"/>
        <v>29</v>
      </c>
      <c r="FL48" s="197" t="str">
        <f t="shared" ref="FL48:FL53" si="725">$E48</f>
        <v>Egypte</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België</v>
      </c>
      <c r="FX48" s="198">
        <f t="shared" si="65"/>
        <v>29</v>
      </c>
      <c r="FY48" s="197" t="str">
        <f t="shared" ref="FY48:FY53" si="729">$E48</f>
        <v>Egypte</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België</v>
      </c>
      <c r="GK48" s="198">
        <f t="shared" si="68"/>
        <v>29</v>
      </c>
      <c r="GL48" s="197" t="str">
        <f t="shared" ref="GL48:GL53" si="733">$E48</f>
        <v>Egypte</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België</v>
      </c>
      <c r="GX48" s="198">
        <f t="shared" si="71"/>
        <v>29</v>
      </c>
      <c r="GY48" s="197" t="str">
        <f t="shared" ref="GY48:GY53" si="737">$E48</f>
        <v>Egypte</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België</v>
      </c>
      <c r="HK48" s="198">
        <f t="shared" si="74"/>
        <v>29</v>
      </c>
      <c r="HL48" s="197" t="str">
        <f t="shared" ref="HL48:HL53" si="741">$E48</f>
        <v>Egypte</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België</v>
      </c>
      <c r="HX48" s="198">
        <f t="shared" si="77"/>
        <v>29</v>
      </c>
      <c r="HY48" s="197" t="str">
        <f t="shared" ref="HY48:HY53" si="745">$E48</f>
        <v>Egypte</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België</v>
      </c>
      <c r="IK48" s="198">
        <f t="shared" si="80"/>
        <v>29</v>
      </c>
      <c r="IL48" s="197" t="str">
        <f t="shared" ref="IL48:IL53" si="749">$E48</f>
        <v>Egypte</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België</v>
      </c>
      <c r="IX48" s="198">
        <f t="shared" si="83"/>
        <v>29</v>
      </c>
      <c r="IY48" s="197" t="str">
        <f t="shared" ref="IY48:IY53" si="753">$E48</f>
        <v>Egypte</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België</v>
      </c>
      <c r="JK48" s="198">
        <f t="shared" si="86"/>
        <v>29</v>
      </c>
      <c r="JL48" s="197" t="str">
        <f t="shared" ref="JL48:JL53" si="757">$E48</f>
        <v>Egypte</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België</v>
      </c>
      <c r="JX48" s="198">
        <f t="shared" si="89"/>
        <v>29</v>
      </c>
      <c r="JY48" s="197" t="str">
        <f t="shared" ref="JY48:JY53" si="761">$E48</f>
        <v>Egypte</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België</v>
      </c>
      <c r="KK48" s="198">
        <f t="shared" si="92"/>
        <v>29</v>
      </c>
      <c r="KL48" s="197" t="str">
        <f t="shared" ref="KL48:KL53" si="765">$E48</f>
        <v>Egypte</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België</v>
      </c>
      <c r="KX48" s="198">
        <f t="shared" si="95"/>
        <v>29</v>
      </c>
      <c r="KY48" s="197" t="str">
        <f t="shared" ref="KY48:KY53" si="769">$E48</f>
        <v>Egypte</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België</v>
      </c>
      <c r="LK48" s="198">
        <f t="shared" si="98"/>
        <v>29</v>
      </c>
      <c r="LL48" s="197" t="str">
        <f t="shared" ref="LL48:LL53" si="773">$E48</f>
        <v>Egypte</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België</v>
      </c>
      <c r="LX48" s="198">
        <f t="shared" si="101"/>
        <v>29</v>
      </c>
      <c r="LY48" s="197" t="str">
        <f t="shared" ref="LY48:LY53" si="777">$E48</f>
        <v>Egypte</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c r="B49" s="196">
        <f>INDEX(Groups!$C$7:$C$65,MATCH(C49,Groups!$D$7:$D$65,0))</f>
        <v>21</v>
      </c>
      <c r="C49" s="197" t="str">
        <f>CalcG!$P$23</f>
        <v>IR Iran</v>
      </c>
      <c r="D49" s="198">
        <f>INDEX(Groups!$C$7:$C$65,MATCH(E49,Groups!$D$7:$D$65,0))</f>
        <v>85</v>
      </c>
      <c r="E49" s="197" t="str">
        <f>CalcG!$Q$23</f>
        <v>Nieuw-Zeeland</v>
      </c>
      <c r="F49" s="725" t="str">
        <f>CalcG!$R$23</f>
        <v/>
      </c>
      <c r="G49" s="200" t="str">
        <f>CalcG!$S$23</f>
        <v/>
      </c>
      <c r="I49" s="196">
        <f t="shared" si="0"/>
        <v>21</v>
      </c>
      <c r="J49" s="197" t="str">
        <f t="shared" si="676"/>
        <v>IR Iran</v>
      </c>
      <c r="K49" s="198">
        <f t="shared" si="26"/>
        <v>85</v>
      </c>
      <c r="L49" s="197" t="str">
        <f t="shared" si="677"/>
        <v>Nieuw-Zeeland</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IR Iran</v>
      </c>
      <c r="X49" s="198">
        <f t="shared" si="29"/>
        <v>85</v>
      </c>
      <c r="Y49" s="197" t="str">
        <f t="shared" si="681"/>
        <v>Nieuw-Zeeland</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IR Iran</v>
      </c>
      <c r="AK49" s="198">
        <f t="shared" si="32"/>
        <v>85</v>
      </c>
      <c r="AL49" s="197" t="str">
        <f t="shared" si="685"/>
        <v>Nieuw-Zeeland</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IR Iran</v>
      </c>
      <c r="AX49" s="198">
        <f t="shared" si="35"/>
        <v>85</v>
      </c>
      <c r="AY49" s="197" t="str">
        <f t="shared" si="689"/>
        <v>Nieuw-Zeeland</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IR Iran</v>
      </c>
      <c r="BK49" s="198">
        <f t="shared" si="38"/>
        <v>85</v>
      </c>
      <c r="BL49" s="197" t="str">
        <f t="shared" si="693"/>
        <v>Nieuw-Zeeland</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IR Iran</v>
      </c>
      <c r="BX49" s="198">
        <f t="shared" si="41"/>
        <v>85</v>
      </c>
      <c r="BY49" s="197" t="str">
        <f t="shared" si="697"/>
        <v>Nieuw-Zeeland</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IR Iran</v>
      </c>
      <c r="CK49" s="198">
        <f t="shared" si="44"/>
        <v>85</v>
      </c>
      <c r="CL49" s="197" t="str">
        <f t="shared" si="701"/>
        <v>Nieuw-Zeeland</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IR Iran</v>
      </c>
      <c r="CX49" s="198">
        <f t="shared" si="47"/>
        <v>85</v>
      </c>
      <c r="CY49" s="197" t="str">
        <f t="shared" si="705"/>
        <v>Nieuw-Zeeland</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IR Iran</v>
      </c>
      <c r="DK49" s="198">
        <f t="shared" si="50"/>
        <v>85</v>
      </c>
      <c r="DL49" s="197" t="str">
        <f t="shared" si="709"/>
        <v>Nieuw-Zeeland</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IR Iran</v>
      </c>
      <c r="DX49" s="198">
        <f t="shared" si="53"/>
        <v>85</v>
      </c>
      <c r="DY49" s="197" t="str">
        <f t="shared" si="713"/>
        <v>Nieuw-Zeeland</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IR Iran</v>
      </c>
      <c r="EK49" s="198">
        <f t="shared" si="56"/>
        <v>85</v>
      </c>
      <c r="EL49" s="197" t="str">
        <f t="shared" si="717"/>
        <v>Nieuw-Zeeland</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IR Iran</v>
      </c>
      <c r="EX49" s="198">
        <f t="shared" si="59"/>
        <v>85</v>
      </c>
      <c r="EY49" s="197" t="str">
        <f t="shared" si="721"/>
        <v>Nieuw-Zeeland</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IR Iran</v>
      </c>
      <c r="FK49" s="198">
        <f t="shared" si="62"/>
        <v>85</v>
      </c>
      <c r="FL49" s="197" t="str">
        <f t="shared" si="725"/>
        <v>Nieuw-Zeeland</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IR Iran</v>
      </c>
      <c r="FX49" s="198">
        <f t="shared" si="65"/>
        <v>85</v>
      </c>
      <c r="FY49" s="197" t="str">
        <f t="shared" si="729"/>
        <v>Nieuw-Zeeland</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IR Iran</v>
      </c>
      <c r="GK49" s="198">
        <f t="shared" si="68"/>
        <v>85</v>
      </c>
      <c r="GL49" s="197" t="str">
        <f t="shared" si="733"/>
        <v>Nieuw-Zeeland</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IR Iran</v>
      </c>
      <c r="GX49" s="198">
        <f t="shared" si="71"/>
        <v>85</v>
      </c>
      <c r="GY49" s="197" t="str">
        <f t="shared" si="737"/>
        <v>Nieuw-Zeeland</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IR Iran</v>
      </c>
      <c r="HK49" s="198">
        <f t="shared" si="74"/>
        <v>85</v>
      </c>
      <c r="HL49" s="197" t="str">
        <f t="shared" si="741"/>
        <v>Nieuw-Zeeland</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IR Iran</v>
      </c>
      <c r="HX49" s="198">
        <f t="shared" si="77"/>
        <v>85</v>
      </c>
      <c r="HY49" s="197" t="str">
        <f t="shared" si="745"/>
        <v>Nieuw-Zeeland</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IR Iran</v>
      </c>
      <c r="IK49" s="198">
        <f t="shared" si="80"/>
        <v>85</v>
      </c>
      <c r="IL49" s="197" t="str">
        <f t="shared" si="749"/>
        <v>Nieuw-Zeeland</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IR Iran</v>
      </c>
      <c r="IX49" s="198">
        <f t="shared" si="83"/>
        <v>85</v>
      </c>
      <c r="IY49" s="197" t="str">
        <f t="shared" si="753"/>
        <v>Nieuw-Zeeland</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IR Iran</v>
      </c>
      <c r="JK49" s="198">
        <f t="shared" si="86"/>
        <v>85</v>
      </c>
      <c r="JL49" s="197" t="str">
        <f t="shared" si="757"/>
        <v>Nieuw-Zeeland</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IR Iran</v>
      </c>
      <c r="JX49" s="198">
        <f t="shared" si="89"/>
        <v>85</v>
      </c>
      <c r="JY49" s="197" t="str">
        <f t="shared" si="761"/>
        <v>Nieuw-Zeeland</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IR Iran</v>
      </c>
      <c r="KK49" s="198">
        <f t="shared" si="92"/>
        <v>85</v>
      </c>
      <c r="KL49" s="197" t="str">
        <f t="shared" si="765"/>
        <v>Nieuw-Zeeland</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IR Iran</v>
      </c>
      <c r="KX49" s="198">
        <f t="shared" si="95"/>
        <v>85</v>
      </c>
      <c r="KY49" s="197" t="str">
        <f t="shared" si="769"/>
        <v>Nieuw-Zeeland</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IR Iran</v>
      </c>
      <c r="LK49" s="198">
        <f t="shared" si="98"/>
        <v>85</v>
      </c>
      <c r="LL49" s="197" t="str">
        <f t="shared" si="773"/>
        <v>Nieuw-Zeeland</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IR Iran</v>
      </c>
      <c r="LX49" s="198">
        <f t="shared" si="101"/>
        <v>85</v>
      </c>
      <c r="LY49" s="197" t="str">
        <f t="shared" si="777"/>
        <v>Nieuw-Zeeland</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c r="B50" s="196">
        <f>INDEX(Groups!$C$7:$C$65,MATCH(C50,Groups!$D$7:$D$65,0))</f>
        <v>9</v>
      </c>
      <c r="C50" s="197" t="str">
        <f>CalcG!$P$24</f>
        <v>België</v>
      </c>
      <c r="D50" s="198">
        <f>INDEX(Groups!$C$7:$C$65,MATCH(E50,Groups!$D$7:$D$65,0))</f>
        <v>21</v>
      </c>
      <c r="E50" s="197" t="str">
        <f>CalcG!$Q$24</f>
        <v>IR Iran</v>
      </c>
      <c r="F50" s="199" t="str">
        <f>CalcG!$R$24</f>
        <v/>
      </c>
      <c r="G50" s="200" t="str">
        <f>CalcG!$S$24</f>
        <v/>
      </c>
      <c r="I50" s="196">
        <f t="shared" si="0"/>
        <v>9</v>
      </c>
      <c r="J50" s="197" t="str">
        <f t="shared" si="676"/>
        <v>België</v>
      </c>
      <c r="K50" s="198">
        <f t="shared" si="26"/>
        <v>21</v>
      </c>
      <c r="L50" s="197" t="str">
        <f t="shared" si="677"/>
        <v>IR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België</v>
      </c>
      <c r="X50" s="198">
        <f t="shared" si="29"/>
        <v>21</v>
      </c>
      <c r="Y50" s="197" t="str">
        <f t="shared" si="681"/>
        <v>IR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België</v>
      </c>
      <c r="AK50" s="198">
        <f t="shared" si="32"/>
        <v>21</v>
      </c>
      <c r="AL50" s="197" t="str">
        <f t="shared" si="685"/>
        <v>IR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België</v>
      </c>
      <c r="AX50" s="198">
        <f t="shared" si="35"/>
        <v>21</v>
      </c>
      <c r="AY50" s="197" t="str">
        <f t="shared" si="689"/>
        <v>IR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België</v>
      </c>
      <c r="BK50" s="198">
        <f t="shared" si="38"/>
        <v>21</v>
      </c>
      <c r="BL50" s="197" t="str">
        <f t="shared" si="693"/>
        <v>IR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België</v>
      </c>
      <c r="BX50" s="198">
        <f t="shared" si="41"/>
        <v>21</v>
      </c>
      <c r="BY50" s="197" t="str">
        <f t="shared" si="697"/>
        <v>IR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België</v>
      </c>
      <c r="CK50" s="198">
        <f t="shared" si="44"/>
        <v>21</v>
      </c>
      <c r="CL50" s="197" t="str">
        <f t="shared" si="701"/>
        <v>IR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België</v>
      </c>
      <c r="CX50" s="198">
        <f t="shared" si="47"/>
        <v>21</v>
      </c>
      <c r="CY50" s="197" t="str">
        <f t="shared" si="705"/>
        <v>IR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België</v>
      </c>
      <c r="DK50" s="198">
        <f t="shared" si="50"/>
        <v>21</v>
      </c>
      <c r="DL50" s="197" t="str">
        <f t="shared" si="709"/>
        <v>IR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België</v>
      </c>
      <c r="DX50" s="198">
        <f t="shared" si="53"/>
        <v>21</v>
      </c>
      <c r="DY50" s="197" t="str">
        <f t="shared" si="713"/>
        <v>IR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België</v>
      </c>
      <c r="EK50" s="198">
        <f t="shared" si="56"/>
        <v>21</v>
      </c>
      <c r="EL50" s="197" t="str">
        <f t="shared" si="717"/>
        <v>IR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België</v>
      </c>
      <c r="EX50" s="198">
        <f t="shared" si="59"/>
        <v>21</v>
      </c>
      <c r="EY50" s="197" t="str">
        <f t="shared" si="721"/>
        <v>IR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België</v>
      </c>
      <c r="FK50" s="198">
        <f t="shared" si="62"/>
        <v>21</v>
      </c>
      <c r="FL50" s="197" t="str">
        <f t="shared" si="725"/>
        <v>IR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België</v>
      </c>
      <c r="FX50" s="198">
        <f t="shared" si="65"/>
        <v>21</v>
      </c>
      <c r="FY50" s="197" t="str">
        <f t="shared" si="729"/>
        <v>IR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België</v>
      </c>
      <c r="GK50" s="198">
        <f t="shared" si="68"/>
        <v>21</v>
      </c>
      <c r="GL50" s="197" t="str">
        <f t="shared" si="733"/>
        <v>IR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België</v>
      </c>
      <c r="GX50" s="198">
        <f t="shared" si="71"/>
        <v>21</v>
      </c>
      <c r="GY50" s="197" t="str">
        <f t="shared" si="737"/>
        <v>IR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België</v>
      </c>
      <c r="HK50" s="198">
        <f t="shared" si="74"/>
        <v>21</v>
      </c>
      <c r="HL50" s="197" t="str">
        <f t="shared" si="741"/>
        <v>IR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België</v>
      </c>
      <c r="HX50" s="198">
        <f t="shared" si="77"/>
        <v>21</v>
      </c>
      <c r="HY50" s="197" t="str">
        <f t="shared" si="745"/>
        <v>IR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België</v>
      </c>
      <c r="IK50" s="198">
        <f t="shared" si="80"/>
        <v>21</v>
      </c>
      <c r="IL50" s="197" t="str">
        <f t="shared" si="749"/>
        <v>IR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België</v>
      </c>
      <c r="IX50" s="198">
        <f t="shared" si="83"/>
        <v>21</v>
      </c>
      <c r="IY50" s="197" t="str">
        <f t="shared" si="753"/>
        <v>IR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België</v>
      </c>
      <c r="JK50" s="198">
        <f t="shared" si="86"/>
        <v>21</v>
      </c>
      <c r="JL50" s="197" t="str">
        <f t="shared" si="757"/>
        <v>IR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België</v>
      </c>
      <c r="JX50" s="198">
        <f t="shared" si="89"/>
        <v>21</v>
      </c>
      <c r="JY50" s="197" t="str">
        <f t="shared" si="761"/>
        <v>IR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België</v>
      </c>
      <c r="KK50" s="198">
        <f t="shared" si="92"/>
        <v>21</v>
      </c>
      <c r="KL50" s="197" t="str">
        <f t="shared" si="765"/>
        <v>IR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België</v>
      </c>
      <c r="KX50" s="198">
        <f t="shared" si="95"/>
        <v>21</v>
      </c>
      <c r="KY50" s="197" t="str">
        <f t="shared" si="769"/>
        <v>IR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België</v>
      </c>
      <c r="LK50" s="198">
        <f t="shared" si="98"/>
        <v>21</v>
      </c>
      <c r="LL50" s="197" t="str">
        <f t="shared" si="773"/>
        <v>IR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België</v>
      </c>
      <c r="LX50" s="198">
        <f t="shared" si="101"/>
        <v>21</v>
      </c>
      <c r="LY50" s="197" t="str">
        <f t="shared" si="777"/>
        <v>IR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c r="B51" s="196">
        <f>INDEX(Groups!$C$7:$C$65,MATCH(C51,Groups!$D$7:$D$65,0))</f>
        <v>85</v>
      </c>
      <c r="C51" s="197" t="str">
        <f>CalcG!$P$25</f>
        <v>Nieuw-Zeeland</v>
      </c>
      <c r="D51" s="198">
        <f>INDEX(Groups!$C$7:$C$65,MATCH(E51,Groups!$D$7:$D$65,0))</f>
        <v>29</v>
      </c>
      <c r="E51" s="197" t="str">
        <f>CalcG!$Q$25</f>
        <v>Egypte</v>
      </c>
      <c r="F51" s="199" t="str">
        <f>CalcG!$R$25</f>
        <v/>
      </c>
      <c r="G51" s="200" t="str">
        <f>CalcG!$S$25</f>
        <v/>
      </c>
      <c r="I51" s="196">
        <f t="shared" si="0"/>
        <v>85</v>
      </c>
      <c r="J51" s="197" t="str">
        <f t="shared" si="676"/>
        <v>Nieuw-Zeeland</v>
      </c>
      <c r="K51" s="198">
        <f t="shared" si="26"/>
        <v>29</v>
      </c>
      <c r="L51" s="197" t="str">
        <f t="shared" si="677"/>
        <v>Egypte</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Nieuw-Zeeland</v>
      </c>
      <c r="X51" s="198">
        <f t="shared" si="29"/>
        <v>29</v>
      </c>
      <c r="Y51" s="197" t="str">
        <f t="shared" si="681"/>
        <v>Egypte</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Nieuw-Zeeland</v>
      </c>
      <c r="AK51" s="198">
        <f t="shared" si="32"/>
        <v>29</v>
      </c>
      <c r="AL51" s="197" t="str">
        <f t="shared" si="685"/>
        <v>Egypte</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Nieuw-Zeeland</v>
      </c>
      <c r="AX51" s="198">
        <f t="shared" si="35"/>
        <v>29</v>
      </c>
      <c r="AY51" s="197" t="str">
        <f t="shared" si="689"/>
        <v>Egypte</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Nieuw-Zeeland</v>
      </c>
      <c r="BK51" s="198">
        <f t="shared" si="38"/>
        <v>29</v>
      </c>
      <c r="BL51" s="197" t="str">
        <f t="shared" si="693"/>
        <v>Egypte</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Nieuw-Zeeland</v>
      </c>
      <c r="BX51" s="198">
        <f t="shared" si="41"/>
        <v>29</v>
      </c>
      <c r="BY51" s="197" t="str">
        <f t="shared" si="697"/>
        <v>Egypte</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Nieuw-Zeeland</v>
      </c>
      <c r="CK51" s="198">
        <f t="shared" si="44"/>
        <v>29</v>
      </c>
      <c r="CL51" s="197" t="str">
        <f t="shared" si="701"/>
        <v>Egypte</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Nieuw-Zeeland</v>
      </c>
      <c r="CX51" s="198">
        <f t="shared" si="47"/>
        <v>29</v>
      </c>
      <c r="CY51" s="197" t="str">
        <f t="shared" si="705"/>
        <v>Egypte</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Nieuw-Zeeland</v>
      </c>
      <c r="DK51" s="198">
        <f t="shared" si="50"/>
        <v>29</v>
      </c>
      <c r="DL51" s="197" t="str">
        <f t="shared" si="709"/>
        <v>Egypte</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Nieuw-Zeeland</v>
      </c>
      <c r="DX51" s="198">
        <f t="shared" si="53"/>
        <v>29</v>
      </c>
      <c r="DY51" s="197" t="str">
        <f t="shared" si="713"/>
        <v>Egypte</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Nieuw-Zeeland</v>
      </c>
      <c r="EK51" s="198">
        <f t="shared" si="56"/>
        <v>29</v>
      </c>
      <c r="EL51" s="197" t="str">
        <f t="shared" si="717"/>
        <v>Egypte</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Nieuw-Zeeland</v>
      </c>
      <c r="EX51" s="198">
        <f t="shared" si="59"/>
        <v>29</v>
      </c>
      <c r="EY51" s="197" t="str">
        <f t="shared" si="721"/>
        <v>Egypte</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Nieuw-Zeeland</v>
      </c>
      <c r="FK51" s="198">
        <f t="shared" si="62"/>
        <v>29</v>
      </c>
      <c r="FL51" s="197" t="str">
        <f t="shared" si="725"/>
        <v>Egypte</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Nieuw-Zeeland</v>
      </c>
      <c r="FX51" s="198">
        <f t="shared" si="65"/>
        <v>29</v>
      </c>
      <c r="FY51" s="197" t="str">
        <f t="shared" si="729"/>
        <v>Egypte</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Nieuw-Zeeland</v>
      </c>
      <c r="GK51" s="198">
        <f t="shared" si="68"/>
        <v>29</v>
      </c>
      <c r="GL51" s="197" t="str">
        <f t="shared" si="733"/>
        <v>Egypte</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Nieuw-Zeeland</v>
      </c>
      <c r="GX51" s="198">
        <f t="shared" si="71"/>
        <v>29</v>
      </c>
      <c r="GY51" s="197" t="str">
        <f t="shared" si="737"/>
        <v>Egypte</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Nieuw-Zeeland</v>
      </c>
      <c r="HK51" s="198">
        <f t="shared" si="74"/>
        <v>29</v>
      </c>
      <c r="HL51" s="197" t="str">
        <f t="shared" si="741"/>
        <v>Egypte</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Nieuw-Zeeland</v>
      </c>
      <c r="HX51" s="198">
        <f t="shared" si="77"/>
        <v>29</v>
      </c>
      <c r="HY51" s="197" t="str">
        <f t="shared" si="745"/>
        <v>Egypte</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Nieuw-Zeeland</v>
      </c>
      <c r="IK51" s="198">
        <f t="shared" si="80"/>
        <v>29</v>
      </c>
      <c r="IL51" s="197" t="str">
        <f t="shared" si="749"/>
        <v>Egypte</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Nieuw-Zeeland</v>
      </c>
      <c r="IX51" s="198">
        <f t="shared" si="83"/>
        <v>29</v>
      </c>
      <c r="IY51" s="197" t="str">
        <f t="shared" si="753"/>
        <v>Egypte</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Nieuw-Zeeland</v>
      </c>
      <c r="JK51" s="198">
        <f t="shared" si="86"/>
        <v>29</v>
      </c>
      <c r="JL51" s="197" t="str">
        <f t="shared" si="757"/>
        <v>Egypte</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Nieuw-Zeeland</v>
      </c>
      <c r="JX51" s="198">
        <f t="shared" si="89"/>
        <v>29</v>
      </c>
      <c r="JY51" s="197" t="str">
        <f t="shared" si="761"/>
        <v>Egypte</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Nieuw-Zeeland</v>
      </c>
      <c r="KK51" s="198">
        <f t="shared" si="92"/>
        <v>29</v>
      </c>
      <c r="KL51" s="197" t="str">
        <f t="shared" si="765"/>
        <v>Egypte</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Nieuw-Zeeland</v>
      </c>
      <c r="KX51" s="198">
        <f t="shared" si="95"/>
        <v>29</v>
      </c>
      <c r="KY51" s="197" t="str">
        <f t="shared" si="769"/>
        <v>Egypte</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Nieuw-Zeeland</v>
      </c>
      <c r="LK51" s="198">
        <f t="shared" si="98"/>
        <v>29</v>
      </c>
      <c r="LL51" s="197" t="str">
        <f t="shared" si="773"/>
        <v>Egypte</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Nieuw-Zeeland</v>
      </c>
      <c r="LX51" s="198">
        <f t="shared" si="101"/>
        <v>29</v>
      </c>
      <c r="LY51" s="197" t="str">
        <f t="shared" si="777"/>
        <v>Egypte</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c r="B52" s="196">
        <f>INDEX(Groups!$C$7:$C$65,MATCH(C52,Groups!$D$7:$D$65,0))</f>
        <v>29</v>
      </c>
      <c r="C52" s="197" t="str">
        <f>CalcG!$P$26</f>
        <v>Egypte</v>
      </c>
      <c r="D52" s="198">
        <f>INDEX(Groups!$C$7:$C$65,MATCH(E52,Groups!$D$7:$D$65,0))</f>
        <v>21</v>
      </c>
      <c r="E52" s="197" t="str">
        <f>CalcG!$Q$26</f>
        <v>IR Iran</v>
      </c>
      <c r="F52" s="199" t="str">
        <f>CalcG!$R$26</f>
        <v/>
      </c>
      <c r="G52" s="200" t="str">
        <f>CalcG!$S$26</f>
        <v/>
      </c>
      <c r="I52" s="196">
        <f t="shared" si="0"/>
        <v>29</v>
      </c>
      <c r="J52" s="197" t="str">
        <f t="shared" si="676"/>
        <v>Egypte</v>
      </c>
      <c r="K52" s="198">
        <f t="shared" si="26"/>
        <v>21</v>
      </c>
      <c r="L52" s="197" t="str">
        <f t="shared" si="677"/>
        <v>IR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Egypte</v>
      </c>
      <c r="X52" s="198">
        <f t="shared" si="29"/>
        <v>21</v>
      </c>
      <c r="Y52" s="197" t="str">
        <f t="shared" si="681"/>
        <v>IR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Egypte</v>
      </c>
      <c r="AK52" s="198">
        <f t="shared" si="32"/>
        <v>21</v>
      </c>
      <c r="AL52" s="197" t="str">
        <f t="shared" si="685"/>
        <v>IR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Egypte</v>
      </c>
      <c r="AX52" s="198">
        <f t="shared" si="35"/>
        <v>21</v>
      </c>
      <c r="AY52" s="197" t="str">
        <f t="shared" si="689"/>
        <v>IR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Egypte</v>
      </c>
      <c r="BK52" s="198">
        <f t="shared" si="38"/>
        <v>21</v>
      </c>
      <c r="BL52" s="197" t="str">
        <f t="shared" si="693"/>
        <v>IR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Egypte</v>
      </c>
      <c r="BX52" s="198">
        <f t="shared" si="41"/>
        <v>21</v>
      </c>
      <c r="BY52" s="197" t="str">
        <f t="shared" si="697"/>
        <v>IR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Egypte</v>
      </c>
      <c r="CK52" s="198">
        <f t="shared" si="44"/>
        <v>21</v>
      </c>
      <c r="CL52" s="197" t="str">
        <f t="shared" si="701"/>
        <v>IR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Egypte</v>
      </c>
      <c r="CX52" s="198">
        <f t="shared" si="47"/>
        <v>21</v>
      </c>
      <c r="CY52" s="197" t="str">
        <f t="shared" si="705"/>
        <v>IR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Egypte</v>
      </c>
      <c r="DK52" s="198">
        <f t="shared" si="50"/>
        <v>21</v>
      </c>
      <c r="DL52" s="197" t="str">
        <f t="shared" si="709"/>
        <v>IR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Egypte</v>
      </c>
      <c r="DX52" s="198">
        <f t="shared" si="53"/>
        <v>21</v>
      </c>
      <c r="DY52" s="197" t="str">
        <f t="shared" si="713"/>
        <v>IR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Egypte</v>
      </c>
      <c r="EK52" s="198">
        <f t="shared" si="56"/>
        <v>21</v>
      </c>
      <c r="EL52" s="197" t="str">
        <f t="shared" si="717"/>
        <v>IR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Egypte</v>
      </c>
      <c r="EX52" s="198">
        <f t="shared" si="59"/>
        <v>21</v>
      </c>
      <c r="EY52" s="197" t="str">
        <f t="shared" si="721"/>
        <v>IR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Egypte</v>
      </c>
      <c r="FK52" s="198">
        <f t="shared" si="62"/>
        <v>21</v>
      </c>
      <c r="FL52" s="197" t="str">
        <f t="shared" si="725"/>
        <v>IR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Egypte</v>
      </c>
      <c r="FX52" s="198">
        <f t="shared" si="65"/>
        <v>21</v>
      </c>
      <c r="FY52" s="197" t="str">
        <f t="shared" si="729"/>
        <v>IR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Egypte</v>
      </c>
      <c r="GK52" s="198">
        <f t="shared" si="68"/>
        <v>21</v>
      </c>
      <c r="GL52" s="197" t="str">
        <f t="shared" si="733"/>
        <v>IR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Egypte</v>
      </c>
      <c r="GX52" s="198">
        <f t="shared" si="71"/>
        <v>21</v>
      </c>
      <c r="GY52" s="197" t="str">
        <f t="shared" si="737"/>
        <v>IR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Egypte</v>
      </c>
      <c r="HK52" s="198">
        <f t="shared" si="74"/>
        <v>21</v>
      </c>
      <c r="HL52" s="197" t="str">
        <f t="shared" si="741"/>
        <v>IR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Egypte</v>
      </c>
      <c r="HX52" s="198">
        <f t="shared" si="77"/>
        <v>21</v>
      </c>
      <c r="HY52" s="197" t="str">
        <f t="shared" si="745"/>
        <v>IR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Egypte</v>
      </c>
      <c r="IK52" s="198">
        <f t="shared" si="80"/>
        <v>21</v>
      </c>
      <c r="IL52" s="197" t="str">
        <f t="shared" si="749"/>
        <v>IR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Egypte</v>
      </c>
      <c r="IX52" s="198">
        <f t="shared" si="83"/>
        <v>21</v>
      </c>
      <c r="IY52" s="197" t="str">
        <f t="shared" si="753"/>
        <v>IR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Egypte</v>
      </c>
      <c r="JK52" s="198">
        <f t="shared" si="86"/>
        <v>21</v>
      </c>
      <c r="JL52" s="197" t="str">
        <f t="shared" si="757"/>
        <v>IR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Egypte</v>
      </c>
      <c r="JX52" s="198">
        <f t="shared" si="89"/>
        <v>21</v>
      </c>
      <c r="JY52" s="197" t="str">
        <f t="shared" si="761"/>
        <v>IR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Egypte</v>
      </c>
      <c r="KK52" s="198">
        <f t="shared" si="92"/>
        <v>21</v>
      </c>
      <c r="KL52" s="197" t="str">
        <f t="shared" si="765"/>
        <v>IR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Egypte</v>
      </c>
      <c r="KX52" s="198">
        <f t="shared" si="95"/>
        <v>21</v>
      </c>
      <c r="KY52" s="197" t="str">
        <f t="shared" si="769"/>
        <v>IR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Egypte</v>
      </c>
      <c r="LK52" s="198">
        <f t="shared" si="98"/>
        <v>21</v>
      </c>
      <c r="LL52" s="197" t="str">
        <f t="shared" si="773"/>
        <v>IR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Egypte</v>
      </c>
      <c r="LX52" s="198">
        <f t="shared" si="101"/>
        <v>21</v>
      </c>
      <c r="LY52" s="197" t="str">
        <f t="shared" si="777"/>
        <v>IR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c r="B53" s="196">
        <f>INDEX(Groups!$C$7:$C$65,MATCH(C53,Groups!$D$7:$D$65,0))</f>
        <v>85</v>
      </c>
      <c r="C53" s="197" t="str">
        <f>CalcG!$P$27</f>
        <v>Nieuw-Zeeland</v>
      </c>
      <c r="D53" s="198">
        <f>INDEX(Groups!$C$7:$C$65,MATCH(E53,Groups!$D$7:$D$65,0))</f>
        <v>9</v>
      </c>
      <c r="E53" s="197" t="str">
        <f>CalcG!$Q$27</f>
        <v>België</v>
      </c>
      <c r="F53" s="199" t="str">
        <f>CalcG!$R$27</f>
        <v/>
      </c>
      <c r="G53" s="200" t="str">
        <f>CalcG!$S$27</f>
        <v/>
      </c>
      <c r="I53" s="196">
        <f t="shared" si="0"/>
        <v>85</v>
      </c>
      <c r="J53" s="197" t="str">
        <f t="shared" si="676"/>
        <v>Nieuw-Zeeland</v>
      </c>
      <c r="K53" s="198">
        <f t="shared" si="26"/>
        <v>9</v>
      </c>
      <c r="L53" s="197" t="str">
        <f t="shared" si="677"/>
        <v>België</v>
      </c>
      <c r="M53" s="232"/>
      <c r="N53" s="232"/>
      <c r="O53" s="473"/>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4"/>
      <c r="V53" s="196">
        <f t="shared" si="1"/>
        <v>85</v>
      </c>
      <c r="W53" s="197" t="str">
        <f t="shared" si="680"/>
        <v>Nieuw-Zeeland</v>
      </c>
      <c r="X53" s="198">
        <f t="shared" si="29"/>
        <v>9</v>
      </c>
      <c r="Y53" s="197" t="str">
        <f t="shared" si="681"/>
        <v>België</v>
      </c>
      <c r="Z53" s="232"/>
      <c r="AA53" s="232"/>
      <c r="AB53" s="473"/>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4"/>
      <c r="AI53" s="196">
        <f t="shared" si="2"/>
        <v>85</v>
      </c>
      <c r="AJ53" s="197" t="str">
        <f t="shared" si="684"/>
        <v>Nieuw-Zeeland</v>
      </c>
      <c r="AK53" s="198">
        <f t="shared" si="32"/>
        <v>9</v>
      </c>
      <c r="AL53" s="197" t="str">
        <f t="shared" si="685"/>
        <v>België</v>
      </c>
      <c r="AM53" s="232"/>
      <c r="AN53" s="232"/>
      <c r="AO53" s="473"/>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4"/>
      <c r="AV53" s="196">
        <f t="shared" si="3"/>
        <v>85</v>
      </c>
      <c r="AW53" s="197" t="str">
        <f t="shared" si="688"/>
        <v>Nieuw-Zeeland</v>
      </c>
      <c r="AX53" s="198">
        <f t="shared" si="35"/>
        <v>9</v>
      </c>
      <c r="AY53" s="197" t="str">
        <f t="shared" si="689"/>
        <v>België</v>
      </c>
      <c r="AZ53" s="232"/>
      <c r="BA53" s="232"/>
      <c r="BB53" s="473"/>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4"/>
      <c r="BI53" s="196">
        <f t="shared" si="4"/>
        <v>85</v>
      </c>
      <c r="BJ53" s="197" t="str">
        <f t="shared" si="692"/>
        <v>Nieuw-Zeeland</v>
      </c>
      <c r="BK53" s="198">
        <f t="shared" si="38"/>
        <v>9</v>
      </c>
      <c r="BL53" s="197" t="str">
        <f t="shared" si="693"/>
        <v>België</v>
      </c>
      <c r="BM53" s="232"/>
      <c r="BN53" s="232"/>
      <c r="BO53" s="473"/>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4"/>
      <c r="BV53" s="196">
        <f t="shared" si="5"/>
        <v>85</v>
      </c>
      <c r="BW53" s="197" t="str">
        <f t="shared" si="696"/>
        <v>Nieuw-Zeeland</v>
      </c>
      <c r="BX53" s="198">
        <f t="shared" si="41"/>
        <v>9</v>
      </c>
      <c r="BY53" s="197" t="str">
        <f t="shared" si="697"/>
        <v>België</v>
      </c>
      <c r="BZ53" s="232"/>
      <c r="CA53" s="232"/>
      <c r="CB53" s="473"/>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4"/>
      <c r="CI53" s="196">
        <f t="shared" si="6"/>
        <v>85</v>
      </c>
      <c r="CJ53" s="197" t="str">
        <f t="shared" si="700"/>
        <v>Nieuw-Zeeland</v>
      </c>
      <c r="CK53" s="198">
        <f t="shared" si="44"/>
        <v>9</v>
      </c>
      <c r="CL53" s="197" t="str">
        <f t="shared" si="701"/>
        <v>België</v>
      </c>
      <c r="CM53" s="232"/>
      <c r="CN53" s="232"/>
      <c r="CO53" s="473"/>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4"/>
      <c r="CV53" s="196">
        <f t="shared" si="7"/>
        <v>85</v>
      </c>
      <c r="CW53" s="197" t="str">
        <f t="shared" si="704"/>
        <v>Nieuw-Zeeland</v>
      </c>
      <c r="CX53" s="198">
        <f t="shared" si="47"/>
        <v>9</v>
      </c>
      <c r="CY53" s="197" t="str">
        <f t="shared" si="705"/>
        <v>België</v>
      </c>
      <c r="CZ53" s="232"/>
      <c r="DA53" s="232"/>
      <c r="DB53" s="473"/>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4"/>
      <c r="DI53" s="196">
        <f t="shared" si="8"/>
        <v>85</v>
      </c>
      <c r="DJ53" s="197" t="str">
        <f t="shared" si="708"/>
        <v>Nieuw-Zeeland</v>
      </c>
      <c r="DK53" s="198">
        <f t="shared" si="50"/>
        <v>9</v>
      </c>
      <c r="DL53" s="197" t="str">
        <f t="shared" si="709"/>
        <v>België</v>
      </c>
      <c r="DM53" s="232"/>
      <c r="DN53" s="232"/>
      <c r="DO53" s="473"/>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4"/>
      <c r="DV53" s="196">
        <f t="shared" si="9"/>
        <v>85</v>
      </c>
      <c r="DW53" s="197" t="str">
        <f t="shared" si="712"/>
        <v>Nieuw-Zeeland</v>
      </c>
      <c r="DX53" s="198">
        <f t="shared" si="53"/>
        <v>9</v>
      </c>
      <c r="DY53" s="197" t="str">
        <f t="shared" si="713"/>
        <v>België</v>
      </c>
      <c r="DZ53" s="232"/>
      <c r="EA53" s="232"/>
      <c r="EB53" s="473"/>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4"/>
      <c r="EI53" s="196">
        <f t="shared" si="10"/>
        <v>85</v>
      </c>
      <c r="EJ53" s="197" t="str">
        <f t="shared" si="716"/>
        <v>Nieuw-Zeeland</v>
      </c>
      <c r="EK53" s="198">
        <f t="shared" si="56"/>
        <v>9</v>
      </c>
      <c r="EL53" s="197" t="str">
        <f t="shared" si="717"/>
        <v>België</v>
      </c>
      <c r="EM53" s="232"/>
      <c r="EN53" s="232"/>
      <c r="EO53" s="473"/>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4"/>
      <c r="EV53" s="196">
        <f t="shared" si="11"/>
        <v>85</v>
      </c>
      <c r="EW53" s="197" t="str">
        <f t="shared" si="720"/>
        <v>Nieuw-Zeeland</v>
      </c>
      <c r="EX53" s="198">
        <f t="shared" si="59"/>
        <v>9</v>
      </c>
      <c r="EY53" s="197" t="str">
        <f t="shared" si="721"/>
        <v>België</v>
      </c>
      <c r="EZ53" s="232"/>
      <c r="FA53" s="232"/>
      <c r="FB53" s="473"/>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4"/>
      <c r="FI53" s="196">
        <f t="shared" si="12"/>
        <v>85</v>
      </c>
      <c r="FJ53" s="197" t="str">
        <f t="shared" si="724"/>
        <v>Nieuw-Zeeland</v>
      </c>
      <c r="FK53" s="198">
        <f t="shared" si="62"/>
        <v>9</v>
      </c>
      <c r="FL53" s="197" t="str">
        <f t="shared" si="725"/>
        <v>België</v>
      </c>
      <c r="FM53" s="232"/>
      <c r="FN53" s="232"/>
      <c r="FO53" s="473"/>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4"/>
      <c r="FV53" s="196">
        <f t="shared" si="13"/>
        <v>85</v>
      </c>
      <c r="FW53" s="197" t="str">
        <f t="shared" si="728"/>
        <v>Nieuw-Zeeland</v>
      </c>
      <c r="FX53" s="198">
        <f t="shared" si="65"/>
        <v>9</v>
      </c>
      <c r="FY53" s="197" t="str">
        <f t="shared" si="729"/>
        <v>België</v>
      </c>
      <c r="FZ53" s="232"/>
      <c r="GA53" s="232"/>
      <c r="GB53" s="473"/>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4"/>
      <c r="GI53" s="196">
        <f t="shared" si="14"/>
        <v>85</v>
      </c>
      <c r="GJ53" s="197" t="str">
        <f t="shared" si="732"/>
        <v>Nieuw-Zeeland</v>
      </c>
      <c r="GK53" s="198">
        <f t="shared" si="68"/>
        <v>9</v>
      </c>
      <c r="GL53" s="197" t="str">
        <f t="shared" si="733"/>
        <v>België</v>
      </c>
      <c r="GM53" s="232"/>
      <c r="GN53" s="232"/>
      <c r="GO53" s="473"/>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4"/>
      <c r="GV53" s="196">
        <f t="shared" si="15"/>
        <v>85</v>
      </c>
      <c r="GW53" s="197" t="str">
        <f t="shared" si="736"/>
        <v>Nieuw-Zeeland</v>
      </c>
      <c r="GX53" s="198">
        <f t="shared" si="71"/>
        <v>9</v>
      </c>
      <c r="GY53" s="197" t="str">
        <f t="shared" si="737"/>
        <v>België</v>
      </c>
      <c r="GZ53" s="232"/>
      <c r="HA53" s="232"/>
      <c r="HB53" s="473"/>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4"/>
      <c r="HI53" s="196">
        <f t="shared" si="16"/>
        <v>85</v>
      </c>
      <c r="HJ53" s="197" t="str">
        <f t="shared" si="740"/>
        <v>Nieuw-Zeeland</v>
      </c>
      <c r="HK53" s="198">
        <f t="shared" si="74"/>
        <v>9</v>
      </c>
      <c r="HL53" s="197" t="str">
        <f t="shared" si="741"/>
        <v>België</v>
      </c>
      <c r="HM53" s="232"/>
      <c r="HN53" s="232"/>
      <c r="HO53" s="473"/>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4"/>
      <c r="HV53" s="196">
        <f t="shared" si="17"/>
        <v>85</v>
      </c>
      <c r="HW53" s="197" t="str">
        <f t="shared" si="744"/>
        <v>Nieuw-Zeeland</v>
      </c>
      <c r="HX53" s="198">
        <f t="shared" si="77"/>
        <v>9</v>
      </c>
      <c r="HY53" s="197" t="str">
        <f t="shared" si="745"/>
        <v>België</v>
      </c>
      <c r="HZ53" s="232"/>
      <c r="IA53" s="232"/>
      <c r="IB53" s="473"/>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4"/>
      <c r="II53" s="196">
        <f t="shared" si="18"/>
        <v>85</v>
      </c>
      <c r="IJ53" s="197" t="str">
        <f t="shared" si="748"/>
        <v>Nieuw-Zeeland</v>
      </c>
      <c r="IK53" s="198">
        <f t="shared" si="80"/>
        <v>9</v>
      </c>
      <c r="IL53" s="197" t="str">
        <f t="shared" si="749"/>
        <v>België</v>
      </c>
      <c r="IM53" s="232"/>
      <c r="IN53" s="232"/>
      <c r="IO53" s="473"/>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4"/>
      <c r="IV53" s="196">
        <f t="shared" si="19"/>
        <v>85</v>
      </c>
      <c r="IW53" s="197" t="str">
        <f t="shared" si="752"/>
        <v>Nieuw-Zeeland</v>
      </c>
      <c r="IX53" s="198">
        <f t="shared" si="83"/>
        <v>9</v>
      </c>
      <c r="IY53" s="197" t="str">
        <f t="shared" si="753"/>
        <v>België</v>
      </c>
      <c r="IZ53" s="232"/>
      <c r="JA53" s="232"/>
      <c r="JB53" s="473"/>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4"/>
      <c r="JI53" s="196">
        <f t="shared" si="20"/>
        <v>85</v>
      </c>
      <c r="JJ53" s="197" t="str">
        <f t="shared" si="756"/>
        <v>Nieuw-Zeeland</v>
      </c>
      <c r="JK53" s="198">
        <f t="shared" si="86"/>
        <v>9</v>
      </c>
      <c r="JL53" s="197" t="str">
        <f t="shared" si="757"/>
        <v>België</v>
      </c>
      <c r="JM53" s="232"/>
      <c r="JN53" s="232"/>
      <c r="JO53" s="473"/>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4"/>
      <c r="JV53" s="196">
        <f t="shared" si="21"/>
        <v>85</v>
      </c>
      <c r="JW53" s="197" t="str">
        <f t="shared" si="760"/>
        <v>Nieuw-Zeeland</v>
      </c>
      <c r="JX53" s="198">
        <f t="shared" si="89"/>
        <v>9</v>
      </c>
      <c r="JY53" s="197" t="str">
        <f t="shared" si="761"/>
        <v>België</v>
      </c>
      <c r="JZ53" s="232"/>
      <c r="KA53" s="232"/>
      <c r="KB53" s="473"/>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4"/>
      <c r="KI53" s="196">
        <f t="shared" si="22"/>
        <v>85</v>
      </c>
      <c r="KJ53" s="197" t="str">
        <f t="shared" si="764"/>
        <v>Nieuw-Zeeland</v>
      </c>
      <c r="KK53" s="198">
        <f t="shared" si="92"/>
        <v>9</v>
      </c>
      <c r="KL53" s="197" t="str">
        <f t="shared" si="765"/>
        <v>België</v>
      </c>
      <c r="KM53" s="232"/>
      <c r="KN53" s="232"/>
      <c r="KO53" s="473"/>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4"/>
      <c r="KV53" s="196">
        <f t="shared" si="23"/>
        <v>85</v>
      </c>
      <c r="KW53" s="197" t="str">
        <f t="shared" si="768"/>
        <v>Nieuw-Zeeland</v>
      </c>
      <c r="KX53" s="198">
        <f t="shared" si="95"/>
        <v>9</v>
      </c>
      <c r="KY53" s="197" t="str">
        <f t="shared" si="769"/>
        <v>België</v>
      </c>
      <c r="KZ53" s="232"/>
      <c r="LA53" s="232"/>
      <c r="LB53" s="473"/>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4"/>
      <c r="LI53" s="196">
        <f t="shared" si="24"/>
        <v>85</v>
      </c>
      <c r="LJ53" s="197" t="str">
        <f t="shared" si="772"/>
        <v>Nieuw-Zeeland</v>
      </c>
      <c r="LK53" s="198">
        <f t="shared" si="98"/>
        <v>9</v>
      </c>
      <c r="LL53" s="197" t="str">
        <f t="shared" si="773"/>
        <v>België</v>
      </c>
      <c r="LM53" s="232"/>
      <c r="LN53" s="232"/>
      <c r="LO53" s="473"/>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4"/>
      <c r="LV53" s="196">
        <f t="shared" si="25"/>
        <v>85</v>
      </c>
      <c r="LW53" s="197" t="str">
        <f t="shared" si="776"/>
        <v>Nieuw-Zeeland</v>
      </c>
      <c r="LX53" s="198">
        <f t="shared" si="101"/>
        <v>9</v>
      </c>
      <c r="LY53" s="197" t="str">
        <f t="shared" si="777"/>
        <v>België</v>
      </c>
      <c r="LZ53" s="232"/>
      <c r="MA53" s="232"/>
      <c r="MB53" s="473"/>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4"/>
    </row>
    <row r="54" spans="2:345" ht="24" customHeight="1">
      <c r="B54" s="205" t="str">
        <f>Language!$E$130&amp;" H"</f>
        <v>Groep H</v>
      </c>
      <c r="C54" s="206"/>
      <c r="D54" s="211"/>
      <c r="E54" s="208"/>
      <c r="F54" s="212"/>
      <c r="G54" s="213"/>
      <c r="I54" s="205" t="str">
        <f t="shared" si="0"/>
        <v>Groep H</v>
      </c>
      <c r="J54" s="207"/>
      <c r="K54" s="211"/>
      <c r="L54" s="208"/>
      <c r="M54" s="236"/>
      <c r="N54" s="237"/>
      <c r="O54" s="209"/>
      <c r="P54" s="220"/>
      <c r="Q54" s="220"/>
      <c r="R54" s="208"/>
      <c r="S54" s="208"/>
      <c r="T54" s="221"/>
      <c r="V54" s="205" t="str">
        <f t="shared" si="1"/>
        <v>Groep H</v>
      </c>
      <c r="W54" s="207"/>
      <c r="X54" s="211"/>
      <c r="Y54" s="208"/>
      <c r="Z54" s="236"/>
      <c r="AA54" s="237"/>
      <c r="AB54" s="209"/>
      <c r="AC54" s="220"/>
      <c r="AD54" s="220"/>
      <c r="AE54" s="208"/>
      <c r="AF54" s="208"/>
      <c r="AG54" s="221"/>
      <c r="AI54" s="205" t="str">
        <f t="shared" si="2"/>
        <v>Groep H</v>
      </c>
      <c r="AJ54" s="207"/>
      <c r="AK54" s="211"/>
      <c r="AL54" s="208"/>
      <c r="AM54" s="236"/>
      <c r="AN54" s="237"/>
      <c r="AO54" s="209"/>
      <c r="AP54" s="220"/>
      <c r="AQ54" s="220"/>
      <c r="AR54" s="208"/>
      <c r="AS54" s="208"/>
      <c r="AT54" s="221"/>
      <c r="AV54" s="205" t="str">
        <f t="shared" si="3"/>
        <v>Groep H</v>
      </c>
      <c r="AW54" s="207"/>
      <c r="AX54" s="211"/>
      <c r="AY54" s="208"/>
      <c r="AZ54" s="236"/>
      <c r="BA54" s="237"/>
      <c r="BB54" s="209"/>
      <c r="BC54" s="220"/>
      <c r="BD54" s="220"/>
      <c r="BE54" s="208"/>
      <c r="BF54" s="208"/>
      <c r="BG54" s="221"/>
      <c r="BI54" s="205" t="str">
        <f t="shared" si="4"/>
        <v>Groep H</v>
      </c>
      <c r="BJ54" s="207"/>
      <c r="BK54" s="211"/>
      <c r="BL54" s="208"/>
      <c r="BM54" s="236"/>
      <c r="BN54" s="237"/>
      <c r="BO54" s="209"/>
      <c r="BP54" s="220"/>
      <c r="BQ54" s="220"/>
      <c r="BR54" s="208"/>
      <c r="BS54" s="208"/>
      <c r="BT54" s="221"/>
      <c r="BV54" s="205" t="str">
        <f t="shared" si="5"/>
        <v>Groep H</v>
      </c>
      <c r="BW54" s="207"/>
      <c r="BX54" s="211"/>
      <c r="BY54" s="208"/>
      <c r="BZ54" s="236"/>
      <c r="CA54" s="237"/>
      <c r="CB54" s="209"/>
      <c r="CC54" s="220"/>
      <c r="CD54" s="220"/>
      <c r="CE54" s="208"/>
      <c r="CF54" s="208"/>
      <c r="CG54" s="221"/>
      <c r="CI54" s="205" t="str">
        <f t="shared" si="6"/>
        <v>Groep H</v>
      </c>
      <c r="CJ54" s="207"/>
      <c r="CK54" s="211"/>
      <c r="CL54" s="208"/>
      <c r="CM54" s="236"/>
      <c r="CN54" s="237"/>
      <c r="CO54" s="209"/>
      <c r="CP54" s="220"/>
      <c r="CQ54" s="220"/>
      <c r="CR54" s="208"/>
      <c r="CS54" s="208"/>
      <c r="CT54" s="221"/>
      <c r="CV54" s="205" t="str">
        <f t="shared" si="7"/>
        <v>Groep H</v>
      </c>
      <c r="CW54" s="207"/>
      <c r="CX54" s="211"/>
      <c r="CY54" s="208"/>
      <c r="CZ54" s="236"/>
      <c r="DA54" s="237"/>
      <c r="DB54" s="209"/>
      <c r="DC54" s="220"/>
      <c r="DD54" s="220"/>
      <c r="DE54" s="208"/>
      <c r="DF54" s="208"/>
      <c r="DG54" s="221"/>
      <c r="DI54" s="205" t="str">
        <f t="shared" si="8"/>
        <v>Groep H</v>
      </c>
      <c r="DJ54" s="207"/>
      <c r="DK54" s="211"/>
      <c r="DL54" s="208"/>
      <c r="DM54" s="236"/>
      <c r="DN54" s="237"/>
      <c r="DO54" s="209"/>
      <c r="DP54" s="220"/>
      <c r="DQ54" s="220"/>
      <c r="DR54" s="208"/>
      <c r="DS54" s="208"/>
      <c r="DT54" s="221"/>
      <c r="DV54" s="205" t="str">
        <f t="shared" si="9"/>
        <v>Groep H</v>
      </c>
      <c r="DW54" s="207"/>
      <c r="DX54" s="211"/>
      <c r="DY54" s="208"/>
      <c r="DZ54" s="236"/>
      <c r="EA54" s="237"/>
      <c r="EB54" s="209"/>
      <c r="EC54" s="220"/>
      <c r="ED54" s="220"/>
      <c r="EE54" s="208"/>
      <c r="EF54" s="208"/>
      <c r="EG54" s="221"/>
      <c r="EI54" s="205" t="str">
        <f t="shared" si="10"/>
        <v>Groep H</v>
      </c>
      <c r="EJ54" s="207"/>
      <c r="EK54" s="211"/>
      <c r="EL54" s="208"/>
      <c r="EM54" s="236"/>
      <c r="EN54" s="237"/>
      <c r="EO54" s="209"/>
      <c r="EP54" s="220"/>
      <c r="EQ54" s="220"/>
      <c r="ER54" s="208"/>
      <c r="ES54" s="208"/>
      <c r="ET54" s="221"/>
      <c r="EV54" s="205" t="str">
        <f t="shared" si="11"/>
        <v>Groep H</v>
      </c>
      <c r="EW54" s="207"/>
      <c r="EX54" s="211"/>
      <c r="EY54" s="208"/>
      <c r="EZ54" s="236"/>
      <c r="FA54" s="237"/>
      <c r="FB54" s="209"/>
      <c r="FC54" s="220"/>
      <c r="FD54" s="220"/>
      <c r="FE54" s="208"/>
      <c r="FF54" s="208"/>
      <c r="FG54" s="221"/>
      <c r="FI54" s="205" t="str">
        <f t="shared" si="12"/>
        <v>Groep H</v>
      </c>
      <c r="FJ54" s="207"/>
      <c r="FK54" s="211"/>
      <c r="FL54" s="208"/>
      <c r="FM54" s="236"/>
      <c r="FN54" s="237"/>
      <c r="FO54" s="209"/>
      <c r="FP54" s="220"/>
      <c r="FQ54" s="220"/>
      <c r="FR54" s="208"/>
      <c r="FS54" s="208"/>
      <c r="FT54" s="221"/>
      <c r="FV54" s="205" t="str">
        <f t="shared" si="13"/>
        <v>Groep H</v>
      </c>
      <c r="FW54" s="207"/>
      <c r="FX54" s="211"/>
      <c r="FY54" s="208"/>
      <c r="FZ54" s="236"/>
      <c r="GA54" s="237"/>
      <c r="GB54" s="209"/>
      <c r="GC54" s="220"/>
      <c r="GD54" s="220"/>
      <c r="GE54" s="208"/>
      <c r="GF54" s="208"/>
      <c r="GG54" s="221"/>
      <c r="GI54" s="205" t="str">
        <f t="shared" si="14"/>
        <v>Groep H</v>
      </c>
      <c r="GJ54" s="207"/>
      <c r="GK54" s="211"/>
      <c r="GL54" s="208"/>
      <c r="GM54" s="236"/>
      <c r="GN54" s="237"/>
      <c r="GO54" s="209"/>
      <c r="GP54" s="220"/>
      <c r="GQ54" s="220"/>
      <c r="GR54" s="208"/>
      <c r="GS54" s="208"/>
      <c r="GT54" s="221"/>
      <c r="GV54" s="205" t="str">
        <f t="shared" si="15"/>
        <v>Groep H</v>
      </c>
      <c r="GW54" s="207"/>
      <c r="GX54" s="211"/>
      <c r="GY54" s="208"/>
      <c r="GZ54" s="236"/>
      <c r="HA54" s="237"/>
      <c r="HB54" s="209"/>
      <c r="HC54" s="220"/>
      <c r="HD54" s="220"/>
      <c r="HE54" s="208"/>
      <c r="HF54" s="208"/>
      <c r="HG54" s="221"/>
      <c r="HI54" s="205" t="str">
        <f t="shared" si="16"/>
        <v>Groep H</v>
      </c>
      <c r="HJ54" s="207"/>
      <c r="HK54" s="211"/>
      <c r="HL54" s="208"/>
      <c r="HM54" s="236"/>
      <c r="HN54" s="237"/>
      <c r="HO54" s="209"/>
      <c r="HP54" s="220"/>
      <c r="HQ54" s="220"/>
      <c r="HR54" s="208"/>
      <c r="HS54" s="208"/>
      <c r="HT54" s="221"/>
      <c r="HV54" s="205" t="str">
        <f t="shared" si="17"/>
        <v>Groep H</v>
      </c>
      <c r="HW54" s="207"/>
      <c r="HX54" s="211"/>
      <c r="HY54" s="208"/>
      <c r="HZ54" s="236"/>
      <c r="IA54" s="237"/>
      <c r="IB54" s="209"/>
      <c r="IC54" s="220"/>
      <c r="ID54" s="220"/>
      <c r="IE54" s="208"/>
      <c r="IF54" s="208"/>
      <c r="IG54" s="221"/>
      <c r="II54" s="205" t="str">
        <f t="shared" si="18"/>
        <v>Groep H</v>
      </c>
      <c r="IJ54" s="207"/>
      <c r="IK54" s="211"/>
      <c r="IL54" s="208"/>
      <c r="IM54" s="236"/>
      <c r="IN54" s="237"/>
      <c r="IO54" s="209"/>
      <c r="IP54" s="220"/>
      <c r="IQ54" s="220"/>
      <c r="IR54" s="208"/>
      <c r="IS54" s="208"/>
      <c r="IT54" s="221"/>
      <c r="IV54" s="205" t="str">
        <f t="shared" si="19"/>
        <v>Groep H</v>
      </c>
      <c r="IW54" s="207"/>
      <c r="IX54" s="211"/>
      <c r="IY54" s="208"/>
      <c r="IZ54" s="236"/>
      <c r="JA54" s="237"/>
      <c r="JB54" s="209"/>
      <c r="JC54" s="220"/>
      <c r="JD54" s="220"/>
      <c r="JE54" s="208"/>
      <c r="JF54" s="208"/>
      <c r="JG54" s="221"/>
      <c r="JI54" s="205" t="str">
        <f t="shared" si="20"/>
        <v>Groep H</v>
      </c>
      <c r="JJ54" s="207"/>
      <c r="JK54" s="211"/>
      <c r="JL54" s="208"/>
      <c r="JM54" s="236"/>
      <c r="JN54" s="237"/>
      <c r="JO54" s="209"/>
      <c r="JP54" s="220"/>
      <c r="JQ54" s="220"/>
      <c r="JR54" s="208"/>
      <c r="JS54" s="208"/>
      <c r="JT54" s="221"/>
      <c r="JV54" s="205" t="str">
        <f t="shared" si="21"/>
        <v>Groep H</v>
      </c>
      <c r="JW54" s="207"/>
      <c r="JX54" s="211"/>
      <c r="JY54" s="208"/>
      <c r="JZ54" s="236"/>
      <c r="KA54" s="237"/>
      <c r="KB54" s="209"/>
      <c r="KC54" s="220"/>
      <c r="KD54" s="220"/>
      <c r="KE54" s="208"/>
      <c r="KF54" s="208"/>
      <c r="KG54" s="221"/>
      <c r="KI54" s="205" t="str">
        <f t="shared" si="22"/>
        <v>Groep H</v>
      </c>
      <c r="KJ54" s="207"/>
      <c r="KK54" s="211"/>
      <c r="KL54" s="208"/>
      <c r="KM54" s="236"/>
      <c r="KN54" s="237"/>
      <c r="KO54" s="209"/>
      <c r="KP54" s="220"/>
      <c r="KQ54" s="220"/>
      <c r="KR54" s="208"/>
      <c r="KS54" s="208"/>
      <c r="KT54" s="221"/>
      <c r="KV54" s="205" t="str">
        <f t="shared" si="23"/>
        <v>Groep H</v>
      </c>
      <c r="KW54" s="207"/>
      <c r="KX54" s="211"/>
      <c r="KY54" s="208"/>
      <c r="KZ54" s="236"/>
      <c r="LA54" s="237"/>
      <c r="LB54" s="209"/>
      <c r="LC54" s="220"/>
      <c r="LD54" s="220"/>
      <c r="LE54" s="208"/>
      <c r="LF54" s="208"/>
      <c r="LG54" s="221"/>
      <c r="LI54" s="205" t="str">
        <f t="shared" si="24"/>
        <v>Groep H</v>
      </c>
      <c r="LJ54" s="207"/>
      <c r="LK54" s="211"/>
      <c r="LL54" s="208"/>
      <c r="LM54" s="236"/>
      <c r="LN54" s="237"/>
      <c r="LO54" s="209"/>
      <c r="LP54" s="220"/>
      <c r="LQ54" s="220"/>
      <c r="LR54" s="208"/>
      <c r="LS54" s="208"/>
      <c r="LT54" s="221"/>
      <c r="LV54" s="205" t="str">
        <f t="shared" si="25"/>
        <v>Groep H</v>
      </c>
      <c r="LW54" s="207"/>
      <c r="LX54" s="211"/>
      <c r="LY54" s="208"/>
      <c r="LZ54" s="236"/>
      <c r="MA54" s="237"/>
      <c r="MB54" s="209"/>
      <c r="MC54" s="220"/>
      <c r="MD54" s="220"/>
      <c r="ME54" s="208"/>
      <c r="MF54" s="208"/>
      <c r="MG54" s="221"/>
    </row>
    <row r="55" spans="2:345">
      <c r="B55" s="196">
        <f>INDEX(Groups!$C$7:$C$65,MATCH(C55,Groups!$D$7:$D$65,0))</f>
        <v>2</v>
      </c>
      <c r="C55" s="197" t="str">
        <f>CalcH!$P$22</f>
        <v>Spanje</v>
      </c>
      <c r="D55" s="198">
        <f>INDEX(Groups!$C$7:$C$65,MATCH(E55,Groups!$D$7:$D$65,0))</f>
        <v>69</v>
      </c>
      <c r="E55" s="197" t="str">
        <f>CalcH!$Q$22</f>
        <v>Kaapverdië</v>
      </c>
      <c r="F55" s="199" t="str">
        <f>CalcH!$R$22</f>
        <v/>
      </c>
      <c r="G55" s="200" t="str">
        <f>CalcH!$S$22</f>
        <v/>
      </c>
      <c r="I55" s="196">
        <f t="shared" si="0"/>
        <v>2</v>
      </c>
      <c r="J55" s="197" t="str">
        <f t="shared" ref="J55:J60" si="780">$C55</f>
        <v>Spanje</v>
      </c>
      <c r="K55" s="198">
        <f t="shared" si="26"/>
        <v>69</v>
      </c>
      <c r="L55" s="197" t="str">
        <f t="shared" ref="L55:L60" si="781">$E55</f>
        <v>Kaapverdië</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Spanje</v>
      </c>
      <c r="X55" s="198">
        <f t="shared" si="29"/>
        <v>69</v>
      </c>
      <c r="Y55" s="197" t="str">
        <f t="shared" ref="Y55:Y60" si="785">$E55</f>
        <v>Kaapverdië</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Spanje</v>
      </c>
      <c r="AK55" s="198">
        <f t="shared" si="32"/>
        <v>69</v>
      </c>
      <c r="AL55" s="197" t="str">
        <f t="shared" ref="AL55:AL60" si="789">$E55</f>
        <v>Kaapverdië</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Spanje</v>
      </c>
      <c r="AX55" s="198">
        <f t="shared" si="35"/>
        <v>69</v>
      </c>
      <c r="AY55" s="197" t="str">
        <f t="shared" ref="AY55:AY60" si="793">$E55</f>
        <v>Kaapverdië</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Spanje</v>
      </c>
      <c r="BK55" s="198">
        <f t="shared" si="38"/>
        <v>69</v>
      </c>
      <c r="BL55" s="197" t="str">
        <f t="shared" ref="BL55:BL60" si="797">$E55</f>
        <v>Kaapverdië</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Spanje</v>
      </c>
      <c r="BX55" s="198">
        <f t="shared" si="41"/>
        <v>69</v>
      </c>
      <c r="BY55" s="197" t="str">
        <f t="shared" ref="BY55:BY60" si="801">$E55</f>
        <v>Kaapverdië</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Spanje</v>
      </c>
      <c r="CK55" s="198">
        <f t="shared" si="44"/>
        <v>69</v>
      </c>
      <c r="CL55" s="197" t="str">
        <f t="shared" ref="CL55:CL60" si="805">$E55</f>
        <v>Kaapverdië</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Spanje</v>
      </c>
      <c r="CX55" s="198">
        <f t="shared" si="47"/>
        <v>69</v>
      </c>
      <c r="CY55" s="197" t="str">
        <f t="shared" ref="CY55:CY60" si="809">$E55</f>
        <v>Kaapverdië</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Spanje</v>
      </c>
      <c r="DK55" s="198">
        <f t="shared" si="50"/>
        <v>69</v>
      </c>
      <c r="DL55" s="197" t="str">
        <f t="shared" ref="DL55:DL60" si="813">$E55</f>
        <v>Kaapverdië</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Spanje</v>
      </c>
      <c r="DX55" s="198">
        <f t="shared" si="53"/>
        <v>69</v>
      </c>
      <c r="DY55" s="197" t="str">
        <f t="shared" ref="DY55:DY60" si="817">$E55</f>
        <v>Kaapverdië</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Spanje</v>
      </c>
      <c r="EK55" s="198">
        <f t="shared" si="56"/>
        <v>69</v>
      </c>
      <c r="EL55" s="197" t="str">
        <f t="shared" ref="EL55:EL60" si="821">$E55</f>
        <v>Kaapverdië</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Spanje</v>
      </c>
      <c r="EX55" s="198">
        <f t="shared" si="59"/>
        <v>69</v>
      </c>
      <c r="EY55" s="197" t="str">
        <f t="shared" ref="EY55:EY60" si="825">$E55</f>
        <v>Kaapverdië</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Spanje</v>
      </c>
      <c r="FK55" s="198">
        <f t="shared" si="62"/>
        <v>69</v>
      </c>
      <c r="FL55" s="197" t="str">
        <f t="shared" ref="FL55:FL60" si="829">$E55</f>
        <v>Kaapverdië</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Spanje</v>
      </c>
      <c r="FX55" s="198">
        <f t="shared" si="65"/>
        <v>69</v>
      </c>
      <c r="FY55" s="197" t="str">
        <f t="shared" ref="FY55:FY60" si="833">$E55</f>
        <v>Kaapverdië</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Spanje</v>
      </c>
      <c r="GK55" s="198">
        <f t="shared" si="68"/>
        <v>69</v>
      </c>
      <c r="GL55" s="197" t="str">
        <f t="shared" ref="GL55:GL60" si="837">$E55</f>
        <v>Kaapverdië</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Spanje</v>
      </c>
      <c r="GX55" s="198">
        <f t="shared" si="71"/>
        <v>69</v>
      </c>
      <c r="GY55" s="197" t="str">
        <f t="shared" ref="GY55:GY60" si="841">$E55</f>
        <v>Kaapverdië</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Spanje</v>
      </c>
      <c r="HK55" s="198">
        <f t="shared" si="74"/>
        <v>69</v>
      </c>
      <c r="HL55" s="197" t="str">
        <f t="shared" ref="HL55:HL60" si="845">$E55</f>
        <v>Kaapverdië</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Spanje</v>
      </c>
      <c r="HX55" s="198">
        <f t="shared" si="77"/>
        <v>69</v>
      </c>
      <c r="HY55" s="197" t="str">
        <f t="shared" ref="HY55:HY60" si="849">$E55</f>
        <v>Kaapverdië</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Spanje</v>
      </c>
      <c r="IK55" s="198">
        <f t="shared" si="80"/>
        <v>69</v>
      </c>
      <c r="IL55" s="197" t="str">
        <f t="shared" ref="IL55:IL60" si="853">$E55</f>
        <v>Kaapverdië</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Spanje</v>
      </c>
      <c r="IX55" s="198">
        <f t="shared" si="83"/>
        <v>69</v>
      </c>
      <c r="IY55" s="197" t="str">
        <f t="shared" ref="IY55:IY60" si="857">$E55</f>
        <v>Kaapverdië</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Spanje</v>
      </c>
      <c r="JK55" s="198">
        <f t="shared" si="86"/>
        <v>69</v>
      </c>
      <c r="JL55" s="197" t="str">
        <f t="shared" ref="JL55:JL60" si="861">$E55</f>
        <v>Kaapverdië</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Spanje</v>
      </c>
      <c r="JX55" s="198">
        <f t="shared" si="89"/>
        <v>69</v>
      </c>
      <c r="JY55" s="197" t="str">
        <f t="shared" ref="JY55:JY60" si="865">$E55</f>
        <v>Kaapverdië</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Spanje</v>
      </c>
      <c r="KK55" s="198">
        <f t="shared" si="92"/>
        <v>69</v>
      </c>
      <c r="KL55" s="197" t="str">
        <f t="shared" ref="KL55:KL60" si="869">$E55</f>
        <v>Kaapverdië</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Spanje</v>
      </c>
      <c r="KX55" s="198">
        <f t="shared" si="95"/>
        <v>69</v>
      </c>
      <c r="KY55" s="197" t="str">
        <f t="shared" ref="KY55:KY60" si="873">$E55</f>
        <v>Kaapverdië</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Spanje</v>
      </c>
      <c r="LK55" s="198">
        <f t="shared" si="98"/>
        <v>69</v>
      </c>
      <c r="LL55" s="197" t="str">
        <f t="shared" ref="LL55:LL60" si="877">$E55</f>
        <v>Kaapverdië</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Spanje</v>
      </c>
      <c r="LX55" s="198">
        <f t="shared" si="101"/>
        <v>69</v>
      </c>
      <c r="LY55" s="197" t="str">
        <f t="shared" ref="LY55:LY60" si="881">$E55</f>
        <v>Kaapverdië</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c r="B56" s="196">
        <f>INDEX(Groups!$C$7:$C$65,MATCH(C56,Groups!$D$7:$D$65,0))</f>
        <v>61</v>
      </c>
      <c r="C56" s="197" t="str">
        <f>CalcH!$P$23</f>
        <v>Saoedi-Arabië</v>
      </c>
      <c r="D56" s="198">
        <f>INDEX(Groups!$C$7:$C$65,MATCH(E56,Groups!$D$7:$D$65,0))</f>
        <v>17</v>
      </c>
      <c r="E56" s="197" t="str">
        <f>CalcH!$Q$23</f>
        <v>Uruguay</v>
      </c>
      <c r="F56" s="725" t="str">
        <f>CalcH!$R$23</f>
        <v/>
      </c>
      <c r="G56" s="200" t="str">
        <f>CalcH!$S$23</f>
        <v/>
      </c>
      <c r="I56" s="196">
        <f t="shared" si="0"/>
        <v>61</v>
      </c>
      <c r="J56" s="197" t="str">
        <f t="shared" si="780"/>
        <v>Saoedi-Arabië</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Saoedi-Arabië</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Saoedi-Arabië</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Saoedi-Arabië</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Saoedi-Arabië</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Saoedi-Arabië</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Saoedi-Arabië</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Saoedi-Arabië</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Saoedi-Arabië</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Saoedi-Arabië</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Saoedi-Arabië</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Saoedi-Arabië</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Saoedi-Arabië</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Saoedi-Arabië</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Saoedi-Arabië</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Saoedi-Arabië</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Saoedi-Arabië</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Saoedi-Arabië</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Saoedi-Arabië</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Saoedi-Arabië</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Saoedi-Arabië</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Saoedi-Arabië</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Saoedi-Arabië</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Saoedi-Arabië</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Saoedi-Arabië</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Saoedi-Arabië</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c r="B57" s="196">
        <f>INDEX(Groups!$C$7:$C$65,MATCH(C57,Groups!$D$7:$D$65,0))</f>
        <v>2</v>
      </c>
      <c r="C57" s="197" t="str">
        <f>CalcH!$P$24</f>
        <v>Spanje</v>
      </c>
      <c r="D57" s="198">
        <f>INDEX(Groups!$C$7:$C$65,MATCH(E57,Groups!$D$7:$D$65,0))</f>
        <v>61</v>
      </c>
      <c r="E57" s="197" t="str">
        <f>CalcH!$Q$24</f>
        <v>Saoedi-Arabië</v>
      </c>
      <c r="F57" s="199" t="str">
        <f>CalcH!$R$24</f>
        <v/>
      </c>
      <c r="G57" s="200" t="str">
        <f>CalcH!$S$24</f>
        <v/>
      </c>
      <c r="I57" s="196">
        <f t="shared" si="0"/>
        <v>2</v>
      </c>
      <c r="J57" s="197" t="str">
        <f t="shared" si="780"/>
        <v>Spanje</v>
      </c>
      <c r="K57" s="198">
        <f t="shared" si="26"/>
        <v>61</v>
      </c>
      <c r="L57" s="197" t="str">
        <f t="shared" si="781"/>
        <v>Saoedi-Arabië</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Spanje</v>
      </c>
      <c r="X57" s="198">
        <f t="shared" si="29"/>
        <v>61</v>
      </c>
      <c r="Y57" s="197" t="str">
        <f t="shared" si="785"/>
        <v>Saoedi-Arabië</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Spanje</v>
      </c>
      <c r="AK57" s="198">
        <f t="shared" si="32"/>
        <v>61</v>
      </c>
      <c r="AL57" s="197" t="str">
        <f t="shared" si="789"/>
        <v>Saoedi-Arabië</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Spanje</v>
      </c>
      <c r="AX57" s="198">
        <f t="shared" si="35"/>
        <v>61</v>
      </c>
      <c r="AY57" s="197" t="str">
        <f t="shared" si="793"/>
        <v>Saoedi-Arabië</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Spanje</v>
      </c>
      <c r="BK57" s="198">
        <f t="shared" si="38"/>
        <v>61</v>
      </c>
      <c r="BL57" s="197" t="str">
        <f t="shared" si="797"/>
        <v>Saoedi-Arabië</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Spanje</v>
      </c>
      <c r="BX57" s="198">
        <f t="shared" si="41"/>
        <v>61</v>
      </c>
      <c r="BY57" s="197" t="str">
        <f t="shared" si="801"/>
        <v>Saoedi-Arabië</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Spanje</v>
      </c>
      <c r="CK57" s="198">
        <f t="shared" si="44"/>
        <v>61</v>
      </c>
      <c r="CL57" s="197" t="str">
        <f t="shared" si="805"/>
        <v>Saoedi-Arabië</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Spanje</v>
      </c>
      <c r="CX57" s="198">
        <f t="shared" si="47"/>
        <v>61</v>
      </c>
      <c r="CY57" s="197" t="str">
        <f t="shared" si="809"/>
        <v>Saoedi-Arabië</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Spanje</v>
      </c>
      <c r="DK57" s="198">
        <f t="shared" si="50"/>
        <v>61</v>
      </c>
      <c r="DL57" s="197" t="str">
        <f t="shared" si="813"/>
        <v>Saoedi-Arabië</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Spanje</v>
      </c>
      <c r="DX57" s="198">
        <f t="shared" si="53"/>
        <v>61</v>
      </c>
      <c r="DY57" s="197" t="str">
        <f t="shared" si="817"/>
        <v>Saoedi-Arabië</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Spanje</v>
      </c>
      <c r="EK57" s="198">
        <f t="shared" si="56"/>
        <v>61</v>
      </c>
      <c r="EL57" s="197" t="str">
        <f t="shared" si="821"/>
        <v>Saoedi-Arabië</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Spanje</v>
      </c>
      <c r="EX57" s="198">
        <f t="shared" si="59"/>
        <v>61</v>
      </c>
      <c r="EY57" s="197" t="str">
        <f t="shared" si="825"/>
        <v>Saoedi-Arabië</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Spanje</v>
      </c>
      <c r="FK57" s="198">
        <f t="shared" si="62"/>
        <v>61</v>
      </c>
      <c r="FL57" s="197" t="str">
        <f t="shared" si="829"/>
        <v>Saoedi-Arabië</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Spanje</v>
      </c>
      <c r="FX57" s="198">
        <f t="shared" si="65"/>
        <v>61</v>
      </c>
      <c r="FY57" s="197" t="str">
        <f t="shared" si="833"/>
        <v>Saoedi-Arabië</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Spanje</v>
      </c>
      <c r="GK57" s="198">
        <f t="shared" si="68"/>
        <v>61</v>
      </c>
      <c r="GL57" s="197" t="str">
        <f t="shared" si="837"/>
        <v>Saoedi-Arabië</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Spanje</v>
      </c>
      <c r="GX57" s="198">
        <f t="shared" si="71"/>
        <v>61</v>
      </c>
      <c r="GY57" s="197" t="str">
        <f t="shared" si="841"/>
        <v>Saoedi-Arabië</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Spanje</v>
      </c>
      <c r="HK57" s="198">
        <f t="shared" si="74"/>
        <v>61</v>
      </c>
      <c r="HL57" s="197" t="str">
        <f t="shared" si="845"/>
        <v>Saoedi-Arabië</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Spanje</v>
      </c>
      <c r="HX57" s="198">
        <f t="shared" si="77"/>
        <v>61</v>
      </c>
      <c r="HY57" s="197" t="str">
        <f t="shared" si="849"/>
        <v>Saoedi-Arabië</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Spanje</v>
      </c>
      <c r="IK57" s="198">
        <f t="shared" si="80"/>
        <v>61</v>
      </c>
      <c r="IL57" s="197" t="str">
        <f t="shared" si="853"/>
        <v>Saoedi-Arabië</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Spanje</v>
      </c>
      <c r="IX57" s="198">
        <f t="shared" si="83"/>
        <v>61</v>
      </c>
      <c r="IY57" s="197" t="str">
        <f t="shared" si="857"/>
        <v>Saoedi-Arabië</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Spanje</v>
      </c>
      <c r="JK57" s="198">
        <f t="shared" si="86"/>
        <v>61</v>
      </c>
      <c r="JL57" s="197" t="str">
        <f t="shared" si="861"/>
        <v>Saoedi-Arabië</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Spanje</v>
      </c>
      <c r="JX57" s="198">
        <f t="shared" si="89"/>
        <v>61</v>
      </c>
      <c r="JY57" s="197" t="str">
        <f t="shared" si="865"/>
        <v>Saoedi-Arabië</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Spanje</v>
      </c>
      <c r="KK57" s="198">
        <f t="shared" si="92"/>
        <v>61</v>
      </c>
      <c r="KL57" s="197" t="str">
        <f t="shared" si="869"/>
        <v>Saoedi-Arabië</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Spanje</v>
      </c>
      <c r="KX57" s="198">
        <f t="shared" si="95"/>
        <v>61</v>
      </c>
      <c r="KY57" s="197" t="str">
        <f t="shared" si="873"/>
        <v>Saoedi-Arabië</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Spanje</v>
      </c>
      <c r="LK57" s="198">
        <f t="shared" si="98"/>
        <v>61</v>
      </c>
      <c r="LL57" s="197" t="str">
        <f t="shared" si="877"/>
        <v>Saoedi-Arabië</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Spanje</v>
      </c>
      <c r="LX57" s="198">
        <f t="shared" si="101"/>
        <v>61</v>
      </c>
      <c r="LY57" s="197" t="str">
        <f t="shared" si="881"/>
        <v>Saoedi-Arabië</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c r="B58" s="196">
        <f>INDEX(Groups!$C$7:$C$65,MATCH(C58,Groups!$D$7:$D$65,0))</f>
        <v>17</v>
      </c>
      <c r="C58" s="197" t="str">
        <f>CalcH!$P$25</f>
        <v>Uruguay</v>
      </c>
      <c r="D58" s="198">
        <f>INDEX(Groups!$C$7:$C$65,MATCH(E58,Groups!$D$7:$D$65,0))</f>
        <v>69</v>
      </c>
      <c r="E58" s="197" t="str">
        <f>CalcH!$Q$25</f>
        <v>Kaapverdië</v>
      </c>
      <c r="F58" s="199" t="str">
        <f>CalcH!$R$25</f>
        <v/>
      </c>
      <c r="G58" s="200" t="str">
        <f>CalcH!$S$25</f>
        <v/>
      </c>
      <c r="I58" s="196">
        <f t="shared" si="0"/>
        <v>17</v>
      </c>
      <c r="J58" s="197" t="str">
        <f t="shared" si="780"/>
        <v>Uruguay</v>
      </c>
      <c r="K58" s="198">
        <f t="shared" si="26"/>
        <v>69</v>
      </c>
      <c r="L58" s="197" t="str">
        <f t="shared" si="781"/>
        <v>Kaapverdië</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Kaapverdië</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Kaapverdië</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Kaapverdië</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Kaapverdië</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Kaapverdië</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Kaapverdië</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Kaapverdië</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Kaapverdië</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Kaapverdië</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Kaapverdië</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Kaapverdië</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Kaapverdië</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Kaapverdië</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Kaapverdië</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Kaapverdië</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Kaapverdië</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Kaapverdië</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Kaapverdië</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Kaapverdië</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Kaapverdië</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Kaapverdië</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Kaapverdië</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Kaapverdië</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Kaapverdië</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Kaapverdië</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c r="B59" s="196">
        <f>INDEX(Groups!$C$7:$C$65,MATCH(C59,Groups!$D$7:$D$65,0))</f>
        <v>69</v>
      </c>
      <c r="C59" s="197" t="str">
        <f>CalcH!$P$26</f>
        <v>Kaapverdië</v>
      </c>
      <c r="D59" s="198">
        <f>INDEX(Groups!$C$7:$C$65,MATCH(E59,Groups!$D$7:$D$65,0))</f>
        <v>61</v>
      </c>
      <c r="E59" s="197" t="str">
        <f>CalcH!$Q$26</f>
        <v>Saoedi-Arabië</v>
      </c>
      <c r="F59" s="199" t="str">
        <f>CalcH!$R$26</f>
        <v/>
      </c>
      <c r="G59" s="200" t="str">
        <f>CalcH!$S$26</f>
        <v/>
      </c>
      <c r="I59" s="196">
        <f t="shared" si="0"/>
        <v>69</v>
      </c>
      <c r="J59" s="197" t="str">
        <f t="shared" si="780"/>
        <v>Kaapverdië</v>
      </c>
      <c r="K59" s="198">
        <f t="shared" si="26"/>
        <v>61</v>
      </c>
      <c r="L59" s="197" t="str">
        <f t="shared" si="781"/>
        <v>Saoedi-Arabië</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Kaapverdië</v>
      </c>
      <c r="X59" s="198">
        <f t="shared" si="29"/>
        <v>61</v>
      </c>
      <c r="Y59" s="197" t="str">
        <f t="shared" si="785"/>
        <v>Saoedi-Arabië</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Kaapverdië</v>
      </c>
      <c r="AK59" s="198">
        <f t="shared" si="32"/>
        <v>61</v>
      </c>
      <c r="AL59" s="197" t="str">
        <f t="shared" si="789"/>
        <v>Saoedi-Arabië</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Kaapverdië</v>
      </c>
      <c r="AX59" s="198">
        <f t="shared" si="35"/>
        <v>61</v>
      </c>
      <c r="AY59" s="197" t="str">
        <f t="shared" si="793"/>
        <v>Saoedi-Arabië</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Kaapverdië</v>
      </c>
      <c r="BK59" s="198">
        <f t="shared" si="38"/>
        <v>61</v>
      </c>
      <c r="BL59" s="197" t="str">
        <f t="shared" si="797"/>
        <v>Saoedi-Arabië</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Kaapverdië</v>
      </c>
      <c r="BX59" s="198">
        <f t="shared" si="41"/>
        <v>61</v>
      </c>
      <c r="BY59" s="197" t="str">
        <f t="shared" si="801"/>
        <v>Saoedi-Arabië</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Kaapverdië</v>
      </c>
      <c r="CK59" s="198">
        <f t="shared" si="44"/>
        <v>61</v>
      </c>
      <c r="CL59" s="197" t="str">
        <f t="shared" si="805"/>
        <v>Saoedi-Arabië</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Kaapverdië</v>
      </c>
      <c r="CX59" s="198">
        <f t="shared" si="47"/>
        <v>61</v>
      </c>
      <c r="CY59" s="197" t="str">
        <f t="shared" si="809"/>
        <v>Saoedi-Arabië</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Kaapverdië</v>
      </c>
      <c r="DK59" s="198">
        <f t="shared" si="50"/>
        <v>61</v>
      </c>
      <c r="DL59" s="197" t="str">
        <f t="shared" si="813"/>
        <v>Saoedi-Arabië</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Kaapverdië</v>
      </c>
      <c r="DX59" s="198">
        <f t="shared" si="53"/>
        <v>61</v>
      </c>
      <c r="DY59" s="197" t="str">
        <f t="shared" si="817"/>
        <v>Saoedi-Arabië</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Kaapverdië</v>
      </c>
      <c r="EK59" s="198">
        <f t="shared" si="56"/>
        <v>61</v>
      </c>
      <c r="EL59" s="197" t="str">
        <f t="shared" si="821"/>
        <v>Saoedi-Arabië</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Kaapverdië</v>
      </c>
      <c r="EX59" s="198">
        <f t="shared" si="59"/>
        <v>61</v>
      </c>
      <c r="EY59" s="197" t="str">
        <f t="shared" si="825"/>
        <v>Saoedi-Arabië</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Kaapverdië</v>
      </c>
      <c r="FK59" s="198">
        <f t="shared" si="62"/>
        <v>61</v>
      </c>
      <c r="FL59" s="197" t="str">
        <f t="shared" si="829"/>
        <v>Saoedi-Arabië</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Kaapverdië</v>
      </c>
      <c r="FX59" s="198">
        <f t="shared" si="65"/>
        <v>61</v>
      </c>
      <c r="FY59" s="197" t="str">
        <f t="shared" si="833"/>
        <v>Saoedi-Arabië</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Kaapverdië</v>
      </c>
      <c r="GK59" s="198">
        <f t="shared" si="68"/>
        <v>61</v>
      </c>
      <c r="GL59" s="197" t="str">
        <f t="shared" si="837"/>
        <v>Saoedi-Arabië</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Kaapverdië</v>
      </c>
      <c r="GX59" s="198">
        <f t="shared" si="71"/>
        <v>61</v>
      </c>
      <c r="GY59" s="197" t="str">
        <f t="shared" si="841"/>
        <v>Saoedi-Arabië</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Kaapverdië</v>
      </c>
      <c r="HK59" s="198">
        <f t="shared" si="74"/>
        <v>61</v>
      </c>
      <c r="HL59" s="197" t="str">
        <f t="shared" si="845"/>
        <v>Saoedi-Arabië</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Kaapverdië</v>
      </c>
      <c r="HX59" s="198">
        <f t="shared" si="77"/>
        <v>61</v>
      </c>
      <c r="HY59" s="197" t="str">
        <f t="shared" si="849"/>
        <v>Saoedi-Arabië</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Kaapverdië</v>
      </c>
      <c r="IK59" s="198">
        <f t="shared" si="80"/>
        <v>61</v>
      </c>
      <c r="IL59" s="197" t="str">
        <f t="shared" si="853"/>
        <v>Saoedi-Arabië</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Kaapverdië</v>
      </c>
      <c r="IX59" s="198">
        <f t="shared" si="83"/>
        <v>61</v>
      </c>
      <c r="IY59" s="197" t="str">
        <f t="shared" si="857"/>
        <v>Saoedi-Arabië</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Kaapverdië</v>
      </c>
      <c r="JK59" s="198">
        <f t="shared" si="86"/>
        <v>61</v>
      </c>
      <c r="JL59" s="197" t="str">
        <f t="shared" si="861"/>
        <v>Saoedi-Arabië</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Kaapverdië</v>
      </c>
      <c r="JX59" s="198">
        <f t="shared" si="89"/>
        <v>61</v>
      </c>
      <c r="JY59" s="197" t="str">
        <f t="shared" si="865"/>
        <v>Saoedi-Arabië</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Kaapverdië</v>
      </c>
      <c r="KK59" s="198">
        <f t="shared" si="92"/>
        <v>61</v>
      </c>
      <c r="KL59" s="197" t="str">
        <f t="shared" si="869"/>
        <v>Saoedi-Arabië</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Kaapverdië</v>
      </c>
      <c r="KX59" s="198">
        <f t="shared" si="95"/>
        <v>61</v>
      </c>
      <c r="KY59" s="197" t="str">
        <f t="shared" si="873"/>
        <v>Saoedi-Arabië</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Kaapverdië</v>
      </c>
      <c r="LK59" s="198">
        <f t="shared" si="98"/>
        <v>61</v>
      </c>
      <c r="LL59" s="197" t="str">
        <f t="shared" si="877"/>
        <v>Saoedi-Arabië</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Kaapverdië</v>
      </c>
      <c r="LX59" s="198">
        <f t="shared" si="101"/>
        <v>61</v>
      </c>
      <c r="LY59" s="197" t="str">
        <f t="shared" si="881"/>
        <v>Saoedi-Arabië</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c r="B60" s="196">
        <f>INDEX(Groups!$C$7:$C$65,MATCH(C60,Groups!$D$7:$D$65,0))</f>
        <v>17</v>
      </c>
      <c r="C60" s="197" t="str">
        <f>CalcH!$P$27</f>
        <v>Uruguay</v>
      </c>
      <c r="D60" s="198">
        <f>INDEX(Groups!$C$7:$C$65,MATCH(E60,Groups!$D$7:$D$65,0))</f>
        <v>2</v>
      </c>
      <c r="E60" s="197" t="str">
        <f>CalcH!$Q$27</f>
        <v>Spanje</v>
      </c>
      <c r="F60" s="199" t="str">
        <f>CalcH!$R$27</f>
        <v/>
      </c>
      <c r="G60" s="200" t="str">
        <f>CalcH!$S$27</f>
        <v/>
      </c>
      <c r="I60" s="196">
        <f t="shared" si="0"/>
        <v>17</v>
      </c>
      <c r="J60" s="197" t="str">
        <f t="shared" si="780"/>
        <v>Uruguay</v>
      </c>
      <c r="K60" s="198">
        <f t="shared" si="26"/>
        <v>2</v>
      </c>
      <c r="L60" s="197" t="str">
        <f t="shared" si="781"/>
        <v>Spanje</v>
      </c>
      <c r="M60" s="232"/>
      <c r="N60" s="232"/>
      <c r="O60" s="473"/>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4"/>
      <c r="V60" s="196">
        <f t="shared" si="1"/>
        <v>17</v>
      </c>
      <c r="W60" s="197" t="str">
        <f t="shared" si="784"/>
        <v>Uruguay</v>
      </c>
      <c r="X60" s="198">
        <f t="shared" si="29"/>
        <v>2</v>
      </c>
      <c r="Y60" s="197" t="str">
        <f t="shared" si="785"/>
        <v>Spanje</v>
      </c>
      <c r="Z60" s="232"/>
      <c r="AA60" s="232"/>
      <c r="AB60" s="473"/>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4"/>
      <c r="AI60" s="196">
        <f t="shared" si="2"/>
        <v>17</v>
      </c>
      <c r="AJ60" s="197" t="str">
        <f t="shared" si="788"/>
        <v>Uruguay</v>
      </c>
      <c r="AK60" s="198">
        <f t="shared" si="32"/>
        <v>2</v>
      </c>
      <c r="AL60" s="197" t="str">
        <f t="shared" si="789"/>
        <v>Spanje</v>
      </c>
      <c r="AM60" s="232"/>
      <c r="AN60" s="232"/>
      <c r="AO60" s="473"/>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4"/>
      <c r="AV60" s="196">
        <f t="shared" si="3"/>
        <v>17</v>
      </c>
      <c r="AW60" s="197" t="str">
        <f t="shared" si="792"/>
        <v>Uruguay</v>
      </c>
      <c r="AX60" s="198">
        <f t="shared" si="35"/>
        <v>2</v>
      </c>
      <c r="AY60" s="197" t="str">
        <f t="shared" si="793"/>
        <v>Spanje</v>
      </c>
      <c r="AZ60" s="232"/>
      <c r="BA60" s="232"/>
      <c r="BB60" s="473"/>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4"/>
      <c r="BI60" s="196">
        <f t="shared" si="4"/>
        <v>17</v>
      </c>
      <c r="BJ60" s="197" t="str">
        <f t="shared" si="796"/>
        <v>Uruguay</v>
      </c>
      <c r="BK60" s="198">
        <f t="shared" si="38"/>
        <v>2</v>
      </c>
      <c r="BL60" s="197" t="str">
        <f t="shared" si="797"/>
        <v>Spanje</v>
      </c>
      <c r="BM60" s="232"/>
      <c r="BN60" s="232"/>
      <c r="BO60" s="473"/>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4"/>
      <c r="BV60" s="196">
        <f t="shared" si="5"/>
        <v>17</v>
      </c>
      <c r="BW60" s="197" t="str">
        <f t="shared" si="800"/>
        <v>Uruguay</v>
      </c>
      <c r="BX60" s="198">
        <f t="shared" si="41"/>
        <v>2</v>
      </c>
      <c r="BY60" s="197" t="str">
        <f t="shared" si="801"/>
        <v>Spanje</v>
      </c>
      <c r="BZ60" s="232"/>
      <c r="CA60" s="232"/>
      <c r="CB60" s="473"/>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4"/>
      <c r="CI60" s="196">
        <f t="shared" si="6"/>
        <v>17</v>
      </c>
      <c r="CJ60" s="197" t="str">
        <f t="shared" si="804"/>
        <v>Uruguay</v>
      </c>
      <c r="CK60" s="198">
        <f t="shared" si="44"/>
        <v>2</v>
      </c>
      <c r="CL60" s="197" t="str">
        <f t="shared" si="805"/>
        <v>Spanje</v>
      </c>
      <c r="CM60" s="232"/>
      <c r="CN60" s="232"/>
      <c r="CO60" s="473"/>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4"/>
      <c r="CV60" s="196">
        <f t="shared" si="7"/>
        <v>17</v>
      </c>
      <c r="CW60" s="197" t="str">
        <f t="shared" si="808"/>
        <v>Uruguay</v>
      </c>
      <c r="CX60" s="198">
        <f t="shared" si="47"/>
        <v>2</v>
      </c>
      <c r="CY60" s="197" t="str">
        <f t="shared" si="809"/>
        <v>Spanje</v>
      </c>
      <c r="CZ60" s="232"/>
      <c r="DA60" s="232"/>
      <c r="DB60" s="473"/>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4"/>
      <c r="DI60" s="196">
        <f t="shared" si="8"/>
        <v>17</v>
      </c>
      <c r="DJ60" s="197" t="str">
        <f t="shared" si="812"/>
        <v>Uruguay</v>
      </c>
      <c r="DK60" s="198">
        <f t="shared" si="50"/>
        <v>2</v>
      </c>
      <c r="DL60" s="197" t="str">
        <f t="shared" si="813"/>
        <v>Spanje</v>
      </c>
      <c r="DM60" s="232"/>
      <c r="DN60" s="232"/>
      <c r="DO60" s="473"/>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4"/>
      <c r="DV60" s="196">
        <f t="shared" si="9"/>
        <v>17</v>
      </c>
      <c r="DW60" s="197" t="str">
        <f t="shared" si="816"/>
        <v>Uruguay</v>
      </c>
      <c r="DX60" s="198">
        <f t="shared" si="53"/>
        <v>2</v>
      </c>
      <c r="DY60" s="197" t="str">
        <f t="shared" si="817"/>
        <v>Spanje</v>
      </c>
      <c r="DZ60" s="232"/>
      <c r="EA60" s="232"/>
      <c r="EB60" s="473"/>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4"/>
      <c r="EI60" s="196">
        <f t="shared" si="10"/>
        <v>17</v>
      </c>
      <c r="EJ60" s="197" t="str">
        <f t="shared" si="820"/>
        <v>Uruguay</v>
      </c>
      <c r="EK60" s="198">
        <f t="shared" si="56"/>
        <v>2</v>
      </c>
      <c r="EL60" s="197" t="str">
        <f t="shared" si="821"/>
        <v>Spanje</v>
      </c>
      <c r="EM60" s="232"/>
      <c r="EN60" s="232"/>
      <c r="EO60" s="473"/>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4"/>
      <c r="EV60" s="196">
        <f t="shared" si="11"/>
        <v>17</v>
      </c>
      <c r="EW60" s="197" t="str">
        <f t="shared" si="824"/>
        <v>Uruguay</v>
      </c>
      <c r="EX60" s="198">
        <f t="shared" si="59"/>
        <v>2</v>
      </c>
      <c r="EY60" s="197" t="str">
        <f t="shared" si="825"/>
        <v>Spanje</v>
      </c>
      <c r="EZ60" s="232"/>
      <c r="FA60" s="232"/>
      <c r="FB60" s="473"/>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4"/>
      <c r="FI60" s="196">
        <f t="shared" si="12"/>
        <v>17</v>
      </c>
      <c r="FJ60" s="197" t="str">
        <f t="shared" si="828"/>
        <v>Uruguay</v>
      </c>
      <c r="FK60" s="198">
        <f t="shared" si="62"/>
        <v>2</v>
      </c>
      <c r="FL60" s="197" t="str">
        <f t="shared" si="829"/>
        <v>Spanje</v>
      </c>
      <c r="FM60" s="232"/>
      <c r="FN60" s="232"/>
      <c r="FO60" s="473"/>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4"/>
      <c r="FV60" s="196">
        <f t="shared" si="13"/>
        <v>17</v>
      </c>
      <c r="FW60" s="197" t="str">
        <f t="shared" si="832"/>
        <v>Uruguay</v>
      </c>
      <c r="FX60" s="198">
        <f t="shared" si="65"/>
        <v>2</v>
      </c>
      <c r="FY60" s="197" t="str">
        <f t="shared" si="833"/>
        <v>Spanje</v>
      </c>
      <c r="FZ60" s="232"/>
      <c r="GA60" s="232"/>
      <c r="GB60" s="473"/>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4"/>
      <c r="GI60" s="196">
        <f t="shared" si="14"/>
        <v>17</v>
      </c>
      <c r="GJ60" s="197" t="str">
        <f t="shared" si="836"/>
        <v>Uruguay</v>
      </c>
      <c r="GK60" s="198">
        <f t="shared" si="68"/>
        <v>2</v>
      </c>
      <c r="GL60" s="197" t="str">
        <f t="shared" si="837"/>
        <v>Spanje</v>
      </c>
      <c r="GM60" s="232"/>
      <c r="GN60" s="232"/>
      <c r="GO60" s="473"/>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4"/>
      <c r="GV60" s="196">
        <f t="shared" si="15"/>
        <v>17</v>
      </c>
      <c r="GW60" s="197" t="str">
        <f t="shared" si="840"/>
        <v>Uruguay</v>
      </c>
      <c r="GX60" s="198">
        <f t="shared" si="71"/>
        <v>2</v>
      </c>
      <c r="GY60" s="197" t="str">
        <f t="shared" si="841"/>
        <v>Spanje</v>
      </c>
      <c r="GZ60" s="232"/>
      <c r="HA60" s="232"/>
      <c r="HB60" s="473"/>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4"/>
      <c r="HI60" s="196">
        <f t="shared" si="16"/>
        <v>17</v>
      </c>
      <c r="HJ60" s="197" t="str">
        <f t="shared" si="844"/>
        <v>Uruguay</v>
      </c>
      <c r="HK60" s="198">
        <f t="shared" si="74"/>
        <v>2</v>
      </c>
      <c r="HL60" s="197" t="str">
        <f t="shared" si="845"/>
        <v>Spanje</v>
      </c>
      <c r="HM60" s="232"/>
      <c r="HN60" s="232"/>
      <c r="HO60" s="473"/>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4"/>
      <c r="HV60" s="196">
        <f t="shared" si="17"/>
        <v>17</v>
      </c>
      <c r="HW60" s="197" t="str">
        <f t="shared" si="848"/>
        <v>Uruguay</v>
      </c>
      <c r="HX60" s="198">
        <f t="shared" si="77"/>
        <v>2</v>
      </c>
      <c r="HY60" s="197" t="str">
        <f t="shared" si="849"/>
        <v>Spanje</v>
      </c>
      <c r="HZ60" s="232"/>
      <c r="IA60" s="232"/>
      <c r="IB60" s="473"/>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4"/>
      <c r="II60" s="196">
        <f t="shared" si="18"/>
        <v>17</v>
      </c>
      <c r="IJ60" s="197" t="str">
        <f t="shared" si="852"/>
        <v>Uruguay</v>
      </c>
      <c r="IK60" s="198">
        <f t="shared" si="80"/>
        <v>2</v>
      </c>
      <c r="IL60" s="197" t="str">
        <f t="shared" si="853"/>
        <v>Spanje</v>
      </c>
      <c r="IM60" s="232"/>
      <c r="IN60" s="232"/>
      <c r="IO60" s="473"/>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4"/>
      <c r="IV60" s="196">
        <f t="shared" si="19"/>
        <v>17</v>
      </c>
      <c r="IW60" s="197" t="str">
        <f t="shared" si="856"/>
        <v>Uruguay</v>
      </c>
      <c r="IX60" s="198">
        <f t="shared" si="83"/>
        <v>2</v>
      </c>
      <c r="IY60" s="197" t="str">
        <f t="shared" si="857"/>
        <v>Spanje</v>
      </c>
      <c r="IZ60" s="232"/>
      <c r="JA60" s="232"/>
      <c r="JB60" s="473"/>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4"/>
      <c r="JI60" s="196">
        <f t="shared" si="20"/>
        <v>17</v>
      </c>
      <c r="JJ60" s="197" t="str">
        <f t="shared" si="860"/>
        <v>Uruguay</v>
      </c>
      <c r="JK60" s="198">
        <f t="shared" si="86"/>
        <v>2</v>
      </c>
      <c r="JL60" s="197" t="str">
        <f t="shared" si="861"/>
        <v>Spanje</v>
      </c>
      <c r="JM60" s="232"/>
      <c r="JN60" s="232"/>
      <c r="JO60" s="473"/>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4"/>
      <c r="JV60" s="196">
        <f t="shared" si="21"/>
        <v>17</v>
      </c>
      <c r="JW60" s="197" t="str">
        <f t="shared" si="864"/>
        <v>Uruguay</v>
      </c>
      <c r="JX60" s="198">
        <f t="shared" si="89"/>
        <v>2</v>
      </c>
      <c r="JY60" s="197" t="str">
        <f t="shared" si="865"/>
        <v>Spanje</v>
      </c>
      <c r="JZ60" s="232"/>
      <c r="KA60" s="232"/>
      <c r="KB60" s="473"/>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4"/>
      <c r="KI60" s="196">
        <f t="shared" si="22"/>
        <v>17</v>
      </c>
      <c r="KJ60" s="197" t="str">
        <f t="shared" si="868"/>
        <v>Uruguay</v>
      </c>
      <c r="KK60" s="198">
        <f t="shared" si="92"/>
        <v>2</v>
      </c>
      <c r="KL60" s="197" t="str">
        <f t="shared" si="869"/>
        <v>Spanje</v>
      </c>
      <c r="KM60" s="232"/>
      <c r="KN60" s="232"/>
      <c r="KO60" s="473"/>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4"/>
      <c r="KV60" s="196">
        <f t="shared" si="23"/>
        <v>17</v>
      </c>
      <c r="KW60" s="197" t="str">
        <f t="shared" si="872"/>
        <v>Uruguay</v>
      </c>
      <c r="KX60" s="198">
        <f t="shared" si="95"/>
        <v>2</v>
      </c>
      <c r="KY60" s="197" t="str">
        <f t="shared" si="873"/>
        <v>Spanje</v>
      </c>
      <c r="KZ60" s="232"/>
      <c r="LA60" s="232"/>
      <c r="LB60" s="473"/>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4"/>
      <c r="LI60" s="196">
        <f t="shared" si="24"/>
        <v>17</v>
      </c>
      <c r="LJ60" s="197" t="str">
        <f t="shared" si="876"/>
        <v>Uruguay</v>
      </c>
      <c r="LK60" s="198">
        <f t="shared" si="98"/>
        <v>2</v>
      </c>
      <c r="LL60" s="197" t="str">
        <f t="shared" si="877"/>
        <v>Spanje</v>
      </c>
      <c r="LM60" s="232"/>
      <c r="LN60" s="232"/>
      <c r="LO60" s="473"/>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4"/>
      <c r="LV60" s="196">
        <f t="shared" si="25"/>
        <v>17</v>
      </c>
      <c r="LW60" s="197" t="str">
        <f t="shared" si="880"/>
        <v>Uruguay</v>
      </c>
      <c r="LX60" s="198">
        <f t="shared" si="101"/>
        <v>2</v>
      </c>
      <c r="LY60" s="197" t="str">
        <f t="shared" si="881"/>
        <v>Spanje</v>
      </c>
      <c r="LZ60" s="232"/>
      <c r="MA60" s="232"/>
      <c r="MB60" s="473"/>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4"/>
    </row>
    <row r="61" spans="2:345" ht="24" customHeight="1">
      <c r="B61" s="205" t="str">
        <f>Language!$E$130&amp;" I"</f>
        <v>Groep I</v>
      </c>
      <c r="C61" s="206"/>
      <c r="D61" s="211"/>
      <c r="E61" s="208"/>
      <c r="F61" s="212"/>
      <c r="G61" s="213"/>
      <c r="I61" s="205" t="str">
        <f t="shared" si="0"/>
        <v>Groep I</v>
      </c>
      <c r="J61" s="207"/>
      <c r="K61" s="211"/>
      <c r="L61" s="208"/>
      <c r="M61" s="236"/>
      <c r="N61" s="237"/>
      <c r="O61" s="209"/>
      <c r="P61" s="220"/>
      <c r="Q61" s="220"/>
      <c r="R61" s="208"/>
      <c r="S61" s="208"/>
      <c r="T61" s="221"/>
      <c r="V61" s="205" t="str">
        <f t="shared" si="1"/>
        <v>Groep I</v>
      </c>
      <c r="W61" s="207"/>
      <c r="X61" s="211"/>
      <c r="Y61" s="208"/>
      <c r="Z61" s="236"/>
      <c r="AA61" s="237"/>
      <c r="AB61" s="209"/>
      <c r="AC61" s="220"/>
      <c r="AD61" s="220"/>
      <c r="AE61" s="208"/>
      <c r="AF61" s="208"/>
      <c r="AG61" s="221"/>
      <c r="AI61" s="205" t="str">
        <f t="shared" si="2"/>
        <v>Groep I</v>
      </c>
      <c r="AJ61" s="207"/>
      <c r="AK61" s="211"/>
      <c r="AL61" s="208"/>
      <c r="AM61" s="236"/>
      <c r="AN61" s="237"/>
      <c r="AO61" s="209"/>
      <c r="AP61" s="220"/>
      <c r="AQ61" s="220"/>
      <c r="AR61" s="208"/>
      <c r="AS61" s="208"/>
      <c r="AT61" s="221"/>
      <c r="AV61" s="205" t="str">
        <f t="shared" si="3"/>
        <v>Groep I</v>
      </c>
      <c r="AW61" s="207"/>
      <c r="AX61" s="211"/>
      <c r="AY61" s="208"/>
      <c r="AZ61" s="236"/>
      <c r="BA61" s="237"/>
      <c r="BB61" s="209"/>
      <c r="BC61" s="220"/>
      <c r="BD61" s="220"/>
      <c r="BE61" s="208"/>
      <c r="BF61" s="208"/>
      <c r="BG61" s="221"/>
      <c r="BI61" s="205" t="str">
        <f t="shared" si="4"/>
        <v>Groep I</v>
      </c>
      <c r="BJ61" s="207"/>
      <c r="BK61" s="211"/>
      <c r="BL61" s="208"/>
      <c r="BM61" s="236"/>
      <c r="BN61" s="237"/>
      <c r="BO61" s="209"/>
      <c r="BP61" s="220"/>
      <c r="BQ61" s="220"/>
      <c r="BR61" s="208"/>
      <c r="BS61" s="208"/>
      <c r="BT61" s="221"/>
      <c r="BV61" s="205" t="str">
        <f t="shared" si="5"/>
        <v>Groep I</v>
      </c>
      <c r="BW61" s="207"/>
      <c r="BX61" s="211"/>
      <c r="BY61" s="208"/>
      <c r="BZ61" s="236"/>
      <c r="CA61" s="237"/>
      <c r="CB61" s="209"/>
      <c r="CC61" s="220"/>
      <c r="CD61" s="220"/>
      <c r="CE61" s="208"/>
      <c r="CF61" s="208"/>
      <c r="CG61" s="221"/>
      <c r="CI61" s="205" t="str">
        <f t="shared" si="6"/>
        <v>Groep I</v>
      </c>
      <c r="CJ61" s="207"/>
      <c r="CK61" s="211"/>
      <c r="CL61" s="208"/>
      <c r="CM61" s="236"/>
      <c r="CN61" s="237"/>
      <c r="CO61" s="209"/>
      <c r="CP61" s="220"/>
      <c r="CQ61" s="220"/>
      <c r="CR61" s="208"/>
      <c r="CS61" s="208"/>
      <c r="CT61" s="221"/>
      <c r="CV61" s="205" t="str">
        <f t="shared" si="7"/>
        <v>Groep I</v>
      </c>
      <c r="CW61" s="207"/>
      <c r="CX61" s="211"/>
      <c r="CY61" s="208"/>
      <c r="CZ61" s="236"/>
      <c r="DA61" s="237"/>
      <c r="DB61" s="209"/>
      <c r="DC61" s="220"/>
      <c r="DD61" s="220"/>
      <c r="DE61" s="208"/>
      <c r="DF61" s="208"/>
      <c r="DG61" s="221"/>
      <c r="DI61" s="205" t="str">
        <f t="shared" si="8"/>
        <v>Groep I</v>
      </c>
      <c r="DJ61" s="207"/>
      <c r="DK61" s="211"/>
      <c r="DL61" s="208"/>
      <c r="DM61" s="236"/>
      <c r="DN61" s="237"/>
      <c r="DO61" s="209"/>
      <c r="DP61" s="220"/>
      <c r="DQ61" s="220"/>
      <c r="DR61" s="208"/>
      <c r="DS61" s="208"/>
      <c r="DT61" s="221"/>
      <c r="DV61" s="205" t="str">
        <f t="shared" si="9"/>
        <v>Groep I</v>
      </c>
      <c r="DW61" s="207"/>
      <c r="DX61" s="211"/>
      <c r="DY61" s="208"/>
      <c r="DZ61" s="236"/>
      <c r="EA61" s="237"/>
      <c r="EB61" s="209"/>
      <c r="EC61" s="220"/>
      <c r="ED61" s="220"/>
      <c r="EE61" s="208"/>
      <c r="EF61" s="208"/>
      <c r="EG61" s="221"/>
      <c r="EI61" s="205" t="str">
        <f t="shared" si="10"/>
        <v>Groep I</v>
      </c>
      <c r="EJ61" s="207"/>
      <c r="EK61" s="211"/>
      <c r="EL61" s="208"/>
      <c r="EM61" s="236"/>
      <c r="EN61" s="237"/>
      <c r="EO61" s="209"/>
      <c r="EP61" s="220"/>
      <c r="EQ61" s="220"/>
      <c r="ER61" s="208"/>
      <c r="ES61" s="208"/>
      <c r="ET61" s="221"/>
      <c r="EV61" s="205" t="str">
        <f t="shared" si="11"/>
        <v>Groep I</v>
      </c>
      <c r="EW61" s="207"/>
      <c r="EX61" s="211"/>
      <c r="EY61" s="208"/>
      <c r="EZ61" s="236"/>
      <c r="FA61" s="237"/>
      <c r="FB61" s="209"/>
      <c r="FC61" s="220"/>
      <c r="FD61" s="220"/>
      <c r="FE61" s="208"/>
      <c r="FF61" s="208"/>
      <c r="FG61" s="221"/>
      <c r="FI61" s="205" t="str">
        <f t="shared" si="12"/>
        <v>Groep I</v>
      </c>
      <c r="FJ61" s="207"/>
      <c r="FK61" s="211"/>
      <c r="FL61" s="208"/>
      <c r="FM61" s="236"/>
      <c r="FN61" s="237"/>
      <c r="FO61" s="209"/>
      <c r="FP61" s="220"/>
      <c r="FQ61" s="220"/>
      <c r="FR61" s="208"/>
      <c r="FS61" s="208"/>
      <c r="FT61" s="221"/>
      <c r="FV61" s="205" t="str">
        <f t="shared" si="13"/>
        <v>Groep I</v>
      </c>
      <c r="FW61" s="207"/>
      <c r="FX61" s="211"/>
      <c r="FY61" s="208"/>
      <c r="FZ61" s="236"/>
      <c r="GA61" s="237"/>
      <c r="GB61" s="209"/>
      <c r="GC61" s="220"/>
      <c r="GD61" s="220"/>
      <c r="GE61" s="208"/>
      <c r="GF61" s="208"/>
      <c r="GG61" s="221"/>
      <c r="GI61" s="205" t="str">
        <f t="shared" si="14"/>
        <v>Groep I</v>
      </c>
      <c r="GJ61" s="207"/>
      <c r="GK61" s="211"/>
      <c r="GL61" s="208"/>
      <c r="GM61" s="236"/>
      <c r="GN61" s="237"/>
      <c r="GO61" s="209"/>
      <c r="GP61" s="220"/>
      <c r="GQ61" s="220"/>
      <c r="GR61" s="208"/>
      <c r="GS61" s="208"/>
      <c r="GT61" s="221"/>
      <c r="GV61" s="205" t="str">
        <f t="shared" si="15"/>
        <v>Groep I</v>
      </c>
      <c r="GW61" s="207"/>
      <c r="GX61" s="211"/>
      <c r="GY61" s="208"/>
      <c r="GZ61" s="236"/>
      <c r="HA61" s="237"/>
      <c r="HB61" s="209"/>
      <c r="HC61" s="220"/>
      <c r="HD61" s="220"/>
      <c r="HE61" s="208"/>
      <c r="HF61" s="208"/>
      <c r="HG61" s="221"/>
      <c r="HI61" s="205" t="str">
        <f t="shared" si="16"/>
        <v>Groep I</v>
      </c>
      <c r="HJ61" s="207"/>
      <c r="HK61" s="211"/>
      <c r="HL61" s="208"/>
      <c r="HM61" s="236"/>
      <c r="HN61" s="237"/>
      <c r="HO61" s="209"/>
      <c r="HP61" s="220"/>
      <c r="HQ61" s="220"/>
      <c r="HR61" s="208"/>
      <c r="HS61" s="208"/>
      <c r="HT61" s="221"/>
      <c r="HV61" s="205" t="str">
        <f t="shared" si="17"/>
        <v>Groep I</v>
      </c>
      <c r="HW61" s="207"/>
      <c r="HX61" s="211"/>
      <c r="HY61" s="208"/>
      <c r="HZ61" s="236"/>
      <c r="IA61" s="237"/>
      <c r="IB61" s="209"/>
      <c r="IC61" s="220"/>
      <c r="ID61" s="220"/>
      <c r="IE61" s="208"/>
      <c r="IF61" s="208"/>
      <c r="IG61" s="221"/>
      <c r="II61" s="205" t="str">
        <f t="shared" si="18"/>
        <v>Groep I</v>
      </c>
      <c r="IJ61" s="207"/>
      <c r="IK61" s="211"/>
      <c r="IL61" s="208"/>
      <c r="IM61" s="236"/>
      <c r="IN61" s="237"/>
      <c r="IO61" s="209"/>
      <c r="IP61" s="220"/>
      <c r="IQ61" s="220"/>
      <c r="IR61" s="208"/>
      <c r="IS61" s="208"/>
      <c r="IT61" s="221"/>
      <c r="IV61" s="205" t="str">
        <f t="shared" si="19"/>
        <v>Groep I</v>
      </c>
      <c r="IW61" s="207"/>
      <c r="IX61" s="211"/>
      <c r="IY61" s="208"/>
      <c r="IZ61" s="236"/>
      <c r="JA61" s="237"/>
      <c r="JB61" s="209"/>
      <c r="JC61" s="220"/>
      <c r="JD61" s="220"/>
      <c r="JE61" s="208"/>
      <c r="JF61" s="208"/>
      <c r="JG61" s="221"/>
      <c r="JI61" s="205" t="str">
        <f t="shared" si="20"/>
        <v>Groep I</v>
      </c>
      <c r="JJ61" s="207"/>
      <c r="JK61" s="211"/>
      <c r="JL61" s="208"/>
      <c r="JM61" s="236"/>
      <c r="JN61" s="237"/>
      <c r="JO61" s="209"/>
      <c r="JP61" s="220"/>
      <c r="JQ61" s="220"/>
      <c r="JR61" s="208"/>
      <c r="JS61" s="208"/>
      <c r="JT61" s="221"/>
      <c r="JV61" s="205" t="str">
        <f t="shared" si="21"/>
        <v>Groep I</v>
      </c>
      <c r="JW61" s="207"/>
      <c r="JX61" s="211"/>
      <c r="JY61" s="208"/>
      <c r="JZ61" s="236"/>
      <c r="KA61" s="237"/>
      <c r="KB61" s="209"/>
      <c r="KC61" s="220"/>
      <c r="KD61" s="220"/>
      <c r="KE61" s="208"/>
      <c r="KF61" s="208"/>
      <c r="KG61" s="221"/>
      <c r="KI61" s="205" t="str">
        <f t="shared" si="22"/>
        <v>Groep I</v>
      </c>
      <c r="KJ61" s="207"/>
      <c r="KK61" s="211"/>
      <c r="KL61" s="208"/>
      <c r="KM61" s="236"/>
      <c r="KN61" s="237"/>
      <c r="KO61" s="209"/>
      <c r="KP61" s="220"/>
      <c r="KQ61" s="220"/>
      <c r="KR61" s="208"/>
      <c r="KS61" s="208"/>
      <c r="KT61" s="221"/>
      <c r="KV61" s="205" t="str">
        <f t="shared" si="23"/>
        <v>Groep I</v>
      </c>
      <c r="KW61" s="207"/>
      <c r="KX61" s="211"/>
      <c r="KY61" s="208"/>
      <c r="KZ61" s="236"/>
      <c r="LA61" s="237"/>
      <c r="LB61" s="209"/>
      <c r="LC61" s="220"/>
      <c r="LD61" s="220"/>
      <c r="LE61" s="208"/>
      <c r="LF61" s="208"/>
      <c r="LG61" s="221"/>
      <c r="LI61" s="205" t="str">
        <f t="shared" si="24"/>
        <v>Groep I</v>
      </c>
      <c r="LJ61" s="207"/>
      <c r="LK61" s="211"/>
      <c r="LL61" s="208"/>
      <c r="LM61" s="236"/>
      <c r="LN61" s="237"/>
      <c r="LO61" s="209"/>
      <c r="LP61" s="220"/>
      <c r="LQ61" s="220"/>
      <c r="LR61" s="208"/>
      <c r="LS61" s="208"/>
      <c r="LT61" s="221"/>
      <c r="LV61" s="205" t="str">
        <f t="shared" si="25"/>
        <v>Groep I</v>
      </c>
      <c r="LW61" s="207"/>
      <c r="LX61" s="211"/>
      <c r="LY61" s="208"/>
      <c r="LZ61" s="236"/>
      <c r="MA61" s="237"/>
      <c r="MB61" s="209"/>
      <c r="MC61" s="220"/>
      <c r="MD61" s="220"/>
      <c r="ME61" s="208"/>
      <c r="MF61" s="208"/>
      <c r="MG61" s="221"/>
    </row>
    <row r="62" spans="2:345">
      <c r="B62" s="196">
        <f>INDEX(Groups!$C$7:$C$65,MATCH(C62,Groups!$D$7:$D$65,0))</f>
        <v>1</v>
      </c>
      <c r="C62" s="197" t="str">
        <f>CalcI!$P$22</f>
        <v>Frankrijk</v>
      </c>
      <c r="D62" s="198">
        <f>INDEX(Groups!$C$7:$C$65,MATCH(E62,Groups!$D$7:$D$65,0))</f>
        <v>14</v>
      </c>
      <c r="E62" s="197" t="str">
        <f>CalcI!$Q$22</f>
        <v>Senegal</v>
      </c>
      <c r="F62" s="199" t="str">
        <f>CalcI!$R$22</f>
        <v/>
      </c>
      <c r="G62" s="200" t="str">
        <f>CalcI!$S$22</f>
        <v/>
      </c>
      <c r="I62" s="196">
        <f t="shared" si="0"/>
        <v>1</v>
      </c>
      <c r="J62" s="197" t="str">
        <f t="shared" ref="J62:J67" si="884">$C62</f>
        <v>Frankrijk</v>
      </c>
      <c r="K62" s="198">
        <f t="shared" si="26"/>
        <v>14</v>
      </c>
      <c r="L62" s="197" t="str">
        <f t="shared" ref="L62:L67" si="885">$E62</f>
        <v>Senegal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Frankrijk</v>
      </c>
      <c r="X62" s="198">
        <f t="shared" si="29"/>
        <v>14</v>
      </c>
      <c r="Y62" s="197" t="str">
        <f t="shared" ref="Y62:Y67" si="889">$E62</f>
        <v>Senegal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Frankrijk</v>
      </c>
      <c r="AK62" s="198">
        <f t="shared" si="32"/>
        <v>14</v>
      </c>
      <c r="AL62" s="197" t="str">
        <f t="shared" ref="AL62:AL67" si="893">$E62</f>
        <v>Senegal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Frankrijk</v>
      </c>
      <c r="AX62" s="198">
        <f t="shared" si="35"/>
        <v>14</v>
      </c>
      <c r="AY62" s="197" t="str">
        <f t="shared" ref="AY62:AY67" si="897">$E62</f>
        <v>Senegal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Frankrijk</v>
      </c>
      <c r="BK62" s="198">
        <f t="shared" si="38"/>
        <v>14</v>
      </c>
      <c r="BL62" s="197" t="str">
        <f t="shared" ref="BL62:BL67" si="901">$E62</f>
        <v>Senegal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Frankrijk</v>
      </c>
      <c r="BX62" s="198">
        <f t="shared" si="41"/>
        <v>14</v>
      </c>
      <c r="BY62" s="197" t="str">
        <f t="shared" ref="BY62:BY67" si="905">$E62</f>
        <v>Senegal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Frankrijk</v>
      </c>
      <c r="CK62" s="198">
        <f t="shared" si="44"/>
        <v>14</v>
      </c>
      <c r="CL62" s="197" t="str">
        <f t="shared" ref="CL62:CL67" si="909">$E62</f>
        <v>Senegal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Frankrijk</v>
      </c>
      <c r="CX62" s="198">
        <f t="shared" si="47"/>
        <v>14</v>
      </c>
      <c r="CY62" s="197" t="str">
        <f t="shared" ref="CY62:CY67" si="913">$E62</f>
        <v>Senegal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Frankrijk</v>
      </c>
      <c r="DK62" s="198">
        <f t="shared" si="50"/>
        <v>14</v>
      </c>
      <c r="DL62" s="197" t="str">
        <f t="shared" ref="DL62:DL67" si="917">$E62</f>
        <v>Senegal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Frankrijk</v>
      </c>
      <c r="DX62" s="198">
        <f t="shared" si="53"/>
        <v>14</v>
      </c>
      <c r="DY62" s="197" t="str">
        <f t="shared" ref="DY62:DY67" si="921">$E62</f>
        <v>Senegal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Frankrijk</v>
      </c>
      <c r="EK62" s="198">
        <f t="shared" si="56"/>
        <v>14</v>
      </c>
      <c r="EL62" s="197" t="str">
        <f t="shared" ref="EL62:EL67" si="925">$E62</f>
        <v>Senegal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Frankrijk</v>
      </c>
      <c r="EX62" s="198">
        <f t="shared" si="59"/>
        <v>14</v>
      </c>
      <c r="EY62" s="197" t="str">
        <f t="shared" ref="EY62:EY67" si="929">$E62</f>
        <v>Senegal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Frankrijk</v>
      </c>
      <c r="FK62" s="198">
        <f t="shared" si="62"/>
        <v>14</v>
      </c>
      <c r="FL62" s="197" t="str">
        <f t="shared" ref="FL62:FL67" si="933">$E62</f>
        <v>Senegal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Frankrijk</v>
      </c>
      <c r="FX62" s="198">
        <f t="shared" si="65"/>
        <v>14</v>
      </c>
      <c r="FY62" s="197" t="str">
        <f t="shared" ref="FY62:FY67" si="937">$E62</f>
        <v>Senegal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Frankrijk</v>
      </c>
      <c r="GK62" s="198">
        <f t="shared" si="68"/>
        <v>14</v>
      </c>
      <c r="GL62" s="197" t="str">
        <f t="shared" ref="GL62:GL67" si="941">$E62</f>
        <v>Senegal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Frankrijk</v>
      </c>
      <c r="GX62" s="198">
        <f t="shared" si="71"/>
        <v>14</v>
      </c>
      <c r="GY62" s="197" t="str">
        <f t="shared" ref="GY62:GY67" si="945">$E62</f>
        <v>Senegal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Frankrijk</v>
      </c>
      <c r="HK62" s="198">
        <f t="shared" si="74"/>
        <v>14</v>
      </c>
      <c r="HL62" s="197" t="str">
        <f t="shared" ref="HL62:HL67" si="949">$E62</f>
        <v>Senegal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Frankrijk</v>
      </c>
      <c r="HX62" s="198">
        <f t="shared" si="77"/>
        <v>14</v>
      </c>
      <c r="HY62" s="197" t="str">
        <f t="shared" ref="HY62:HY67" si="953">$E62</f>
        <v>Senegal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Frankrijk</v>
      </c>
      <c r="IK62" s="198">
        <f t="shared" si="80"/>
        <v>14</v>
      </c>
      <c r="IL62" s="197" t="str">
        <f t="shared" ref="IL62:IL67" si="957">$E62</f>
        <v>Senegal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Frankrijk</v>
      </c>
      <c r="IX62" s="198">
        <f t="shared" si="83"/>
        <v>14</v>
      </c>
      <c r="IY62" s="197" t="str">
        <f t="shared" ref="IY62:IY67" si="961">$E62</f>
        <v>Senegal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Frankrijk</v>
      </c>
      <c r="JK62" s="198">
        <f t="shared" si="86"/>
        <v>14</v>
      </c>
      <c r="JL62" s="197" t="str">
        <f t="shared" ref="JL62:JL67" si="965">$E62</f>
        <v>Senegal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Frankrijk</v>
      </c>
      <c r="JX62" s="198">
        <f t="shared" si="89"/>
        <v>14</v>
      </c>
      <c r="JY62" s="197" t="str">
        <f t="shared" ref="JY62:JY67" si="969">$E62</f>
        <v>Senegal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Frankrijk</v>
      </c>
      <c r="KK62" s="198">
        <f t="shared" si="92"/>
        <v>14</v>
      </c>
      <c r="KL62" s="197" t="str">
        <f t="shared" ref="KL62:KL67" si="973">$E62</f>
        <v>Senegal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Frankrijk</v>
      </c>
      <c r="KX62" s="198">
        <f t="shared" si="95"/>
        <v>14</v>
      </c>
      <c r="KY62" s="197" t="str">
        <f t="shared" ref="KY62:KY67" si="977">$E62</f>
        <v>Senegal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Frankrijk</v>
      </c>
      <c r="LK62" s="198">
        <f t="shared" si="98"/>
        <v>14</v>
      </c>
      <c r="LL62" s="197" t="str">
        <f t="shared" ref="LL62:LL67" si="981">$E62</f>
        <v>Senegal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Frankrijk</v>
      </c>
      <c r="LX62" s="198">
        <f t="shared" si="101"/>
        <v>14</v>
      </c>
      <c r="LY62" s="197" t="str">
        <f t="shared" ref="LY62:LY67" si="985">$E62</f>
        <v>Senegal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c r="B63" s="196">
        <f>INDEX(Groups!$C$7:$C$65,MATCH(C63,Groups!$D$7:$D$65,0))</f>
        <v>57</v>
      </c>
      <c r="C63" s="197" t="str">
        <f>CalcI!$P$23</f>
        <v>Irak</v>
      </c>
      <c r="D63" s="198">
        <f>INDEX(Groups!$C$7:$C$65,MATCH(E63,Groups!$D$7:$D$65,0))</f>
        <v>31</v>
      </c>
      <c r="E63" s="197" t="str">
        <f>CalcI!$Q$23</f>
        <v>Noorwegen</v>
      </c>
      <c r="F63" s="725" t="str">
        <f>CalcI!$R$23</f>
        <v/>
      </c>
      <c r="G63" s="200" t="str">
        <f>CalcI!$S$23</f>
        <v/>
      </c>
      <c r="I63" s="196">
        <f t="shared" si="0"/>
        <v>57</v>
      </c>
      <c r="J63" s="197" t="str">
        <f t="shared" si="884"/>
        <v>Irak</v>
      </c>
      <c r="K63" s="198">
        <f t="shared" si="26"/>
        <v>31</v>
      </c>
      <c r="L63" s="197" t="str">
        <f t="shared" si="885"/>
        <v>Noorwegen</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Irak</v>
      </c>
      <c r="X63" s="198">
        <f t="shared" si="29"/>
        <v>31</v>
      </c>
      <c r="Y63" s="197" t="str">
        <f t="shared" si="889"/>
        <v>Noorwegen</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Irak</v>
      </c>
      <c r="AK63" s="198">
        <f t="shared" si="32"/>
        <v>31</v>
      </c>
      <c r="AL63" s="197" t="str">
        <f t="shared" si="893"/>
        <v>Noorwegen</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Irak</v>
      </c>
      <c r="AX63" s="198">
        <f t="shared" si="35"/>
        <v>31</v>
      </c>
      <c r="AY63" s="197" t="str">
        <f t="shared" si="897"/>
        <v>Noorwegen</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Irak</v>
      </c>
      <c r="BK63" s="198">
        <f t="shared" si="38"/>
        <v>31</v>
      </c>
      <c r="BL63" s="197" t="str">
        <f t="shared" si="901"/>
        <v>Noorwegen</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Irak</v>
      </c>
      <c r="BX63" s="198">
        <f t="shared" si="41"/>
        <v>31</v>
      </c>
      <c r="BY63" s="197" t="str">
        <f t="shared" si="905"/>
        <v>Noorwegen</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Irak</v>
      </c>
      <c r="CK63" s="198">
        <f t="shared" si="44"/>
        <v>31</v>
      </c>
      <c r="CL63" s="197" t="str">
        <f t="shared" si="909"/>
        <v>Noorwegen</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Irak</v>
      </c>
      <c r="CX63" s="198">
        <f t="shared" si="47"/>
        <v>31</v>
      </c>
      <c r="CY63" s="197" t="str">
        <f t="shared" si="913"/>
        <v>Noorwegen</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Irak</v>
      </c>
      <c r="DK63" s="198">
        <f t="shared" si="50"/>
        <v>31</v>
      </c>
      <c r="DL63" s="197" t="str">
        <f t="shared" si="917"/>
        <v>Noorwegen</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Irak</v>
      </c>
      <c r="DX63" s="198">
        <f t="shared" si="53"/>
        <v>31</v>
      </c>
      <c r="DY63" s="197" t="str">
        <f t="shared" si="921"/>
        <v>Noorwegen</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Irak</v>
      </c>
      <c r="EK63" s="198">
        <f t="shared" si="56"/>
        <v>31</v>
      </c>
      <c r="EL63" s="197" t="str">
        <f t="shared" si="925"/>
        <v>Noorwegen</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Irak</v>
      </c>
      <c r="EX63" s="198">
        <f t="shared" si="59"/>
        <v>31</v>
      </c>
      <c r="EY63" s="197" t="str">
        <f t="shared" si="929"/>
        <v>Noorwegen</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Irak</v>
      </c>
      <c r="FK63" s="198">
        <f t="shared" si="62"/>
        <v>31</v>
      </c>
      <c r="FL63" s="197" t="str">
        <f t="shared" si="933"/>
        <v>Noorwegen</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Irak</v>
      </c>
      <c r="FX63" s="198">
        <f t="shared" si="65"/>
        <v>31</v>
      </c>
      <c r="FY63" s="197" t="str">
        <f t="shared" si="937"/>
        <v>Noorwegen</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Irak</v>
      </c>
      <c r="GK63" s="198">
        <f t="shared" si="68"/>
        <v>31</v>
      </c>
      <c r="GL63" s="197" t="str">
        <f t="shared" si="941"/>
        <v>Noorwegen</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Irak</v>
      </c>
      <c r="GX63" s="198">
        <f t="shared" si="71"/>
        <v>31</v>
      </c>
      <c r="GY63" s="197" t="str">
        <f t="shared" si="945"/>
        <v>Noorwegen</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Irak</v>
      </c>
      <c r="HK63" s="198">
        <f t="shared" si="74"/>
        <v>31</v>
      </c>
      <c r="HL63" s="197" t="str">
        <f t="shared" si="949"/>
        <v>Noorwegen</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Irak</v>
      </c>
      <c r="HX63" s="198">
        <f t="shared" si="77"/>
        <v>31</v>
      </c>
      <c r="HY63" s="197" t="str">
        <f t="shared" si="953"/>
        <v>Noorwegen</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Irak</v>
      </c>
      <c r="IK63" s="198">
        <f t="shared" si="80"/>
        <v>31</v>
      </c>
      <c r="IL63" s="197" t="str">
        <f t="shared" si="957"/>
        <v>Noorwegen</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Irak</v>
      </c>
      <c r="IX63" s="198">
        <f t="shared" si="83"/>
        <v>31</v>
      </c>
      <c r="IY63" s="197" t="str">
        <f t="shared" si="961"/>
        <v>Noorwegen</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Irak</v>
      </c>
      <c r="JK63" s="198">
        <f t="shared" si="86"/>
        <v>31</v>
      </c>
      <c r="JL63" s="197" t="str">
        <f t="shared" si="965"/>
        <v>Noorwegen</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Irak</v>
      </c>
      <c r="JX63" s="198">
        <f t="shared" si="89"/>
        <v>31</v>
      </c>
      <c r="JY63" s="197" t="str">
        <f t="shared" si="969"/>
        <v>Noorwegen</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Irak</v>
      </c>
      <c r="KK63" s="198">
        <f t="shared" si="92"/>
        <v>31</v>
      </c>
      <c r="KL63" s="197" t="str">
        <f t="shared" si="973"/>
        <v>Noorwegen</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Irak</v>
      </c>
      <c r="KX63" s="198">
        <f t="shared" si="95"/>
        <v>31</v>
      </c>
      <c r="KY63" s="197" t="str">
        <f t="shared" si="977"/>
        <v>Noorwegen</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Irak</v>
      </c>
      <c r="LK63" s="198">
        <f t="shared" si="98"/>
        <v>31</v>
      </c>
      <c r="LL63" s="197" t="str">
        <f t="shared" si="981"/>
        <v>Noorwegen</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Irak</v>
      </c>
      <c r="LX63" s="198">
        <f t="shared" si="101"/>
        <v>31</v>
      </c>
      <c r="LY63" s="197" t="str">
        <f t="shared" si="985"/>
        <v>Noorwegen</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c r="B64" s="196">
        <f>INDEX(Groups!$C$7:$C$65,MATCH(C64,Groups!$D$7:$D$65,0))</f>
        <v>1</v>
      </c>
      <c r="C64" s="197" t="str">
        <f>CalcI!$P$24</f>
        <v>Frankrijk</v>
      </c>
      <c r="D64" s="198">
        <f>INDEX(Groups!$C$7:$C$65,MATCH(E64,Groups!$D$7:$D$65,0))</f>
        <v>57</v>
      </c>
      <c r="E64" s="197" t="str">
        <f>CalcI!$Q$24</f>
        <v>Irak</v>
      </c>
      <c r="F64" s="199" t="str">
        <f>CalcI!$R$24</f>
        <v/>
      </c>
      <c r="G64" s="200" t="str">
        <f>CalcI!$S$24</f>
        <v/>
      </c>
      <c r="I64" s="196">
        <f t="shared" si="0"/>
        <v>1</v>
      </c>
      <c r="J64" s="197" t="str">
        <f t="shared" si="884"/>
        <v>Frankrijk</v>
      </c>
      <c r="K64" s="198">
        <f t="shared" si="26"/>
        <v>57</v>
      </c>
      <c r="L64" s="197" t="str">
        <f t="shared" si="885"/>
        <v>Irak</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Frankrijk</v>
      </c>
      <c r="X64" s="198">
        <f t="shared" si="29"/>
        <v>57</v>
      </c>
      <c r="Y64" s="197" t="str">
        <f t="shared" si="889"/>
        <v>Irak</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Frankrijk</v>
      </c>
      <c r="AK64" s="198">
        <f t="shared" si="32"/>
        <v>57</v>
      </c>
      <c r="AL64" s="197" t="str">
        <f t="shared" si="893"/>
        <v>Irak</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Frankrijk</v>
      </c>
      <c r="AX64" s="198">
        <f t="shared" si="35"/>
        <v>57</v>
      </c>
      <c r="AY64" s="197" t="str">
        <f t="shared" si="897"/>
        <v>Irak</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Frankrijk</v>
      </c>
      <c r="BK64" s="198">
        <f t="shared" si="38"/>
        <v>57</v>
      </c>
      <c r="BL64" s="197" t="str">
        <f t="shared" si="901"/>
        <v>Irak</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Frankrijk</v>
      </c>
      <c r="BX64" s="198">
        <f t="shared" si="41"/>
        <v>57</v>
      </c>
      <c r="BY64" s="197" t="str">
        <f t="shared" si="905"/>
        <v>Irak</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Frankrijk</v>
      </c>
      <c r="CK64" s="198">
        <f t="shared" si="44"/>
        <v>57</v>
      </c>
      <c r="CL64" s="197" t="str">
        <f t="shared" si="909"/>
        <v>Irak</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Frankrijk</v>
      </c>
      <c r="CX64" s="198">
        <f t="shared" si="47"/>
        <v>57</v>
      </c>
      <c r="CY64" s="197" t="str">
        <f t="shared" si="913"/>
        <v>Irak</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Frankrijk</v>
      </c>
      <c r="DK64" s="198">
        <f t="shared" si="50"/>
        <v>57</v>
      </c>
      <c r="DL64" s="197" t="str">
        <f t="shared" si="917"/>
        <v>Irak</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Frankrijk</v>
      </c>
      <c r="DX64" s="198">
        <f t="shared" si="53"/>
        <v>57</v>
      </c>
      <c r="DY64" s="197" t="str">
        <f t="shared" si="921"/>
        <v>Irak</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Frankrijk</v>
      </c>
      <c r="EK64" s="198">
        <f t="shared" si="56"/>
        <v>57</v>
      </c>
      <c r="EL64" s="197" t="str">
        <f t="shared" si="925"/>
        <v>Irak</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Frankrijk</v>
      </c>
      <c r="EX64" s="198">
        <f t="shared" si="59"/>
        <v>57</v>
      </c>
      <c r="EY64" s="197" t="str">
        <f t="shared" si="929"/>
        <v>Irak</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Frankrijk</v>
      </c>
      <c r="FK64" s="198">
        <f t="shared" si="62"/>
        <v>57</v>
      </c>
      <c r="FL64" s="197" t="str">
        <f t="shared" si="933"/>
        <v>Irak</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Frankrijk</v>
      </c>
      <c r="FX64" s="198">
        <f t="shared" si="65"/>
        <v>57</v>
      </c>
      <c r="FY64" s="197" t="str">
        <f t="shared" si="937"/>
        <v>Irak</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Frankrijk</v>
      </c>
      <c r="GK64" s="198">
        <f t="shared" si="68"/>
        <v>57</v>
      </c>
      <c r="GL64" s="197" t="str">
        <f t="shared" si="941"/>
        <v>Irak</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Frankrijk</v>
      </c>
      <c r="GX64" s="198">
        <f t="shared" si="71"/>
        <v>57</v>
      </c>
      <c r="GY64" s="197" t="str">
        <f t="shared" si="945"/>
        <v>Irak</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Frankrijk</v>
      </c>
      <c r="HK64" s="198">
        <f t="shared" si="74"/>
        <v>57</v>
      </c>
      <c r="HL64" s="197" t="str">
        <f t="shared" si="949"/>
        <v>Irak</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Frankrijk</v>
      </c>
      <c r="HX64" s="198">
        <f t="shared" si="77"/>
        <v>57</v>
      </c>
      <c r="HY64" s="197" t="str">
        <f t="shared" si="953"/>
        <v>Irak</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Frankrijk</v>
      </c>
      <c r="IK64" s="198">
        <f t="shared" si="80"/>
        <v>57</v>
      </c>
      <c r="IL64" s="197" t="str">
        <f t="shared" si="957"/>
        <v>Irak</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Frankrijk</v>
      </c>
      <c r="IX64" s="198">
        <f t="shared" si="83"/>
        <v>57</v>
      </c>
      <c r="IY64" s="197" t="str">
        <f t="shared" si="961"/>
        <v>Irak</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Frankrijk</v>
      </c>
      <c r="JK64" s="198">
        <f t="shared" si="86"/>
        <v>57</v>
      </c>
      <c r="JL64" s="197" t="str">
        <f t="shared" si="965"/>
        <v>Irak</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Frankrijk</v>
      </c>
      <c r="JX64" s="198">
        <f t="shared" si="89"/>
        <v>57</v>
      </c>
      <c r="JY64" s="197" t="str">
        <f t="shared" si="969"/>
        <v>Irak</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Frankrijk</v>
      </c>
      <c r="KK64" s="198">
        <f t="shared" si="92"/>
        <v>57</v>
      </c>
      <c r="KL64" s="197" t="str">
        <f t="shared" si="973"/>
        <v>Irak</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Frankrijk</v>
      </c>
      <c r="KX64" s="198">
        <f t="shared" si="95"/>
        <v>57</v>
      </c>
      <c r="KY64" s="197" t="str">
        <f t="shared" si="977"/>
        <v>Irak</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Frankrijk</v>
      </c>
      <c r="LK64" s="198">
        <f t="shared" si="98"/>
        <v>57</v>
      </c>
      <c r="LL64" s="197" t="str">
        <f t="shared" si="981"/>
        <v>Irak</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Frankrijk</v>
      </c>
      <c r="LX64" s="198">
        <f t="shared" si="101"/>
        <v>57</v>
      </c>
      <c r="LY64" s="197" t="str">
        <f t="shared" si="985"/>
        <v>Irak</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c r="B65" s="196">
        <f>INDEX(Groups!$C$7:$C$65,MATCH(C65,Groups!$D$7:$D$65,0))</f>
        <v>31</v>
      </c>
      <c r="C65" s="197" t="str">
        <f>CalcI!$P$25</f>
        <v>Noorwegen</v>
      </c>
      <c r="D65" s="198">
        <f>INDEX(Groups!$C$7:$C$65,MATCH(E65,Groups!$D$7:$D$65,0))</f>
        <v>14</v>
      </c>
      <c r="E65" s="197" t="str">
        <f>CalcI!$Q$25</f>
        <v>Senegal</v>
      </c>
      <c r="F65" s="199" t="str">
        <f>CalcI!$R$25</f>
        <v/>
      </c>
      <c r="G65" s="200" t="str">
        <f>CalcI!$S$25</f>
        <v/>
      </c>
      <c r="I65" s="196">
        <f t="shared" si="0"/>
        <v>31</v>
      </c>
      <c r="J65" s="197" t="str">
        <f t="shared" si="884"/>
        <v>Noorwegen</v>
      </c>
      <c r="K65" s="198">
        <f t="shared" si="26"/>
        <v>14</v>
      </c>
      <c r="L65" s="197" t="str">
        <f t="shared" si="885"/>
        <v>Senegal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Noorwegen</v>
      </c>
      <c r="X65" s="198">
        <f t="shared" si="29"/>
        <v>14</v>
      </c>
      <c r="Y65" s="197" t="str">
        <f t="shared" si="889"/>
        <v>Senegal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Noorwegen</v>
      </c>
      <c r="AK65" s="198">
        <f t="shared" si="32"/>
        <v>14</v>
      </c>
      <c r="AL65" s="197" t="str">
        <f t="shared" si="893"/>
        <v>Senegal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Noorwegen</v>
      </c>
      <c r="AX65" s="198">
        <f t="shared" si="35"/>
        <v>14</v>
      </c>
      <c r="AY65" s="197" t="str">
        <f t="shared" si="897"/>
        <v>Senegal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Noorwegen</v>
      </c>
      <c r="BK65" s="198">
        <f t="shared" si="38"/>
        <v>14</v>
      </c>
      <c r="BL65" s="197" t="str">
        <f t="shared" si="901"/>
        <v>Senegal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Noorwegen</v>
      </c>
      <c r="BX65" s="198">
        <f t="shared" si="41"/>
        <v>14</v>
      </c>
      <c r="BY65" s="197" t="str">
        <f t="shared" si="905"/>
        <v>Senegal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Noorwegen</v>
      </c>
      <c r="CK65" s="198">
        <f t="shared" si="44"/>
        <v>14</v>
      </c>
      <c r="CL65" s="197" t="str">
        <f t="shared" si="909"/>
        <v>Senegal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Noorwegen</v>
      </c>
      <c r="CX65" s="198">
        <f t="shared" si="47"/>
        <v>14</v>
      </c>
      <c r="CY65" s="197" t="str">
        <f t="shared" si="913"/>
        <v>Senegal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Noorwegen</v>
      </c>
      <c r="DK65" s="198">
        <f t="shared" si="50"/>
        <v>14</v>
      </c>
      <c r="DL65" s="197" t="str">
        <f t="shared" si="917"/>
        <v>Senegal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Noorwegen</v>
      </c>
      <c r="DX65" s="198">
        <f t="shared" si="53"/>
        <v>14</v>
      </c>
      <c r="DY65" s="197" t="str">
        <f t="shared" si="921"/>
        <v>Senegal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Noorwegen</v>
      </c>
      <c r="EK65" s="198">
        <f t="shared" si="56"/>
        <v>14</v>
      </c>
      <c r="EL65" s="197" t="str">
        <f t="shared" si="925"/>
        <v>Senegal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Noorwegen</v>
      </c>
      <c r="EX65" s="198">
        <f t="shared" si="59"/>
        <v>14</v>
      </c>
      <c r="EY65" s="197" t="str">
        <f t="shared" si="929"/>
        <v>Senegal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Noorwegen</v>
      </c>
      <c r="FK65" s="198">
        <f t="shared" si="62"/>
        <v>14</v>
      </c>
      <c r="FL65" s="197" t="str">
        <f t="shared" si="933"/>
        <v>Senegal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Noorwegen</v>
      </c>
      <c r="FX65" s="198">
        <f t="shared" si="65"/>
        <v>14</v>
      </c>
      <c r="FY65" s="197" t="str">
        <f t="shared" si="937"/>
        <v>Senegal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Noorwegen</v>
      </c>
      <c r="GK65" s="198">
        <f t="shared" si="68"/>
        <v>14</v>
      </c>
      <c r="GL65" s="197" t="str">
        <f t="shared" si="941"/>
        <v>Senegal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Noorwegen</v>
      </c>
      <c r="GX65" s="198">
        <f t="shared" si="71"/>
        <v>14</v>
      </c>
      <c r="GY65" s="197" t="str">
        <f t="shared" si="945"/>
        <v>Senegal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Noorwegen</v>
      </c>
      <c r="HK65" s="198">
        <f t="shared" si="74"/>
        <v>14</v>
      </c>
      <c r="HL65" s="197" t="str">
        <f t="shared" si="949"/>
        <v>Senegal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Noorwegen</v>
      </c>
      <c r="HX65" s="198">
        <f t="shared" si="77"/>
        <v>14</v>
      </c>
      <c r="HY65" s="197" t="str">
        <f t="shared" si="953"/>
        <v>Senegal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Noorwegen</v>
      </c>
      <c r="IK65" s="198">
        <f t="shared" si="80"/>
        <v>14</v>
      </c>
      <c r="IL65" s="197" t="str">
        <f t="shared" si="957"/>
        <v>Senegal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Noorwegen</v>
      </c>
      <c r="IX65" s="198">
        <f t="shared" si="83"/>
        <v>14</v>
      </c>
      <c r="IY65" s="197" t="str">
        <f t="shared" si="961"/>
        <v>Senegal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Noorwegen</v>
      </c>
      <c r="JK65" s="198">
        <f t="shared" si="86"/>
        <v>14</v>
      </c>
      <c r="JL65" s="197" t="str">
        <f t="shared" si="965"/>
        <v>Senegal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Noorwegen</v>
      </c>
      <c r="JX65" s="198">
        <f t="shared" si="89"/>
        <v>14</v>
      </c>
      <c r="JY65" s="197" t="str">
        <f t="shared" si="969"/>
        <v>Senegal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Noorwegen</v>
      </c>
      <c r="KK65" s="198">
        <f t="shared" si="92"/>
        <v>14</v>
      </c>
      <c r="KL65" s="197" t="str">
        <f t="shared" si="973"/>
        <v>Senegal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Noorwegen</v>
      </c>
      <c r="KX65" s="198">
        <f t="shared" si="95"/>
        <v>14</v>
      </c>
      <c r="KY65" s="197" t="str">
        <f t="shared" si="977"/>
        <v>Senegal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Noorwegen</v>
      </c>
      <c r="LK65" s="198">
        <f t="shared" si="98"/>
        <v>14</v>
      </c>
      <c r="LL65" s="197" t="str">
        <f t="shared" si="981"/>
        <v>Senegal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Noorwegen</v>
      </c>
      <c r="LX65" s="198">
        <f t="shared" si="101"/>
        <v>14</v>
      </c>
      <c r="LY65" s="197" t="str">
        <f t="shared" si="985"/>
        <v>Senegal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c r="B66" s="196">
        <f>INDEX(Groups!$C$7:$C$65,MATCH(C66,Groups!$D$7:$D$65,0))</f>
        <v>31</v>
      </c>
      <c r="C66" s="197" t="str">
        <f>CalcI!$P$26</f>
        <v>Noorwegen</v>
      </c>
      <c r="D66" s="198">
        <f>INDEX(Groups!$C$7:$C$65,MATCH(E66,Groups!$D$7:$D$65,0))</f>
        <v>1</v>
      </c>
      <c r="E66" s="197" t="str">
        <f>CalcI!$Q$26</f>
        <v>Frankrijk</v>
      </c>
      <c r="F66" s="199" t="str">
        <f>CalcI!$R$26</f>
        <v/>
      </c>
      <c r="G66" s="200" t="str">
        <f>CalcI!$S$26</f>
        <v/>
      </c>
      <c r="I66" s="196">
        <f t="shared" si="0"/>
        <v>31</v>
      </c>
      <c r="J66" s="197" t="str">
        <f t="shared" si="884"/>
        <v>Noorwegen</v>
      </c>
      <c r="K66" s="198">
        <f t="shared" si="26"/>
        <v>1</v>
      </c>
      <c r="L66" s="197" t="str">
        <f t="shared" si="885"/>
        <v>Frankrijk</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Noorwegen</v>
      </c>
      <c r="X66" s="198">
        <f t="shared" si="29"/>
        <v>1</v>
      </c>
      <c r="Y66" s="197" t="str">
        <f t="shared" si="889"/>
        <v>Frankrijk</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Noorwegen</v>
      </c>
      <c r="AK66" s="198">
        <f t="shared" si="32"/>
        <v>1</v>
      </c>
      <c r="AL66" s="197" t="str">
        <f t="shared" si="893"/>
        <v>Frankrijk</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Noorwegen</v>
      </c>
      <c r="AX66" s="198">
        <f t="shared" si="35"/>
        <v>1</v>
      </c>
      <c r="AY66" s="197" t="str">
        <f t="shared" si="897"/>
        <v>Frankrijk</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Noorwegen</v>
      </c>
      <c r="BK66" s="198">
        <f t="shared" si="38"/>
        <v>1</v>
      </c>
      <c r="BL66" s="197" t="str">
        <f t="shared" si="901"/>
        <v>Frankrijk</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Noorwegen</v>
      </c>
      <c r="BX66" s="198">
        <f t="shared" si="41"/>
        <v>1</v>
      </c>
      <c r="BY66" s="197" t="str">
        <f t="shared" si="905"/>
        <v>Frankrijk</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Noorwegen</v>
      </c>
      <c r="CK66" s="198">
        <f t="shared" si="44"/>
        <v>1</v>
      </c>
      <c r="CL66" s="197" t="str">
        <f t="shared" si="909"/>
        <v>Frankrijk</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Noorwegen</v>
      </c>
      <c r="CX66" s="198">
        <f t="shared" si="47"/>
        <v>1</v>
      </c>
      <c r="CY66" s="197" t="str">
        <f t="shared" si="913"/>
        <v>Frankrijk</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Noorwegen</v>
      </c>
      <c r="DK66" s="198">
        <f t="shared" si="50"/>
        <v>1</v>
      </c>
      <c r="DL66" s="197" t="str">
        <f t="shared" si="917"/>
        <v>Frankrijk</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Noorwegen</v>
      </c>
      <c r="DX66" s="198">
        <f t="shared" si="53"/>
        <v>1</v>
      </c>
      <c r="DY66" s="197" t="str">
        <f t="shared" si="921"/>
        <v>Frankrijk</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Noorwegen</v>
      </c>
      <c r="EK66" s="198">
        <f t="shared" si="56"/>
        <v>1</v>
      </c>
      <c r="EL66" s="197" t="str">
        <f t="shared" si="925"/>
        <v>Frankrijk</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Noorwegen</v>
      </c>
      <c r="EX66" s="198">
        <f t="shared" si="59"/>
        <v>1</v>
      </c>
      <c r="EY66" s="197" t="str">
        <f t="shared" si="929"/>
        <v>Frankrijk</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Noorwegen</v>
      </c>
      <c r="FK66" s="198">
        <f t="shared" si="62"/>
        <v>1</v>
      </c>
      <c r="FL66" s="197" t="str">
        <f t="shared" si="933"/>
        <v>Frankrijk</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Noorwegen</v>
      </c>
      <c r="FX66" s="198">
        <f t="shared" si="65"/>
        <v>1</v>
      </c>
      <c r="FY66" s="197" t="str">
        <f t="shared" si="937"/>
        <v>Frankrijk</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Noorwegen</v>
      </c>
      <c r="GK66" s="198">
        <f t="shared" si="68"/>
        <v>1</v>
      </c>
      <c r="GL66" s="197" t="str">
        <f t="shared" si="941"/>
        <v>Frankrijk</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Noorwegen</v>
      </c>
      <c r="GX66" s="198">
        <f t="shared" si="71"/>
        <v>1</v>
      </c>
      <c r="GY66" s="197" t="str">
        <f t="shared" si="945"/>
        <v>Frankrijk</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Noorwegen</v>
      </c>
      <c r="HK66" s="198">
        <f t="shared" si="74"/>
        <v>1</v>
      </c>
      <c r="HL66" s="197" t="str">
        <f t="shared" si="949"/>
        <v>Frankrijk</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Noorwegen</v>
      </c>
      <c r="HX66" s="198">
        <f t="shared" si="77"/>
        <v>1</v>
      </c>
      <c r="HY66" s="197" t="str">
        <f t="shared" si="953"/>
        <v>Frankrijk</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Noorwegen</v>
      </c>
      <c r="IK66" s="198">
        <f t="shared" si="80"/>
        <v>1</v>
      </c>
      <c r="IL66" s="197" t="str">
        <f t="shared" si="957"/>
        <v>Frankrijk</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Noorwegen</v>
      </c>
      <c r="IX66" s="198">
        <f t="shared" si="83"/>
        <v>1</v>
      </c>
      <c r="IY66" s="197" t="str">
        <f t="shared" si="961"/>
        <v>Frankrijk</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Noorwegen</v>
      </c>
      <c r="JK66" s="198">
        <f t="shared" si="86"/>
        <v>1</v>
      </c>
      <c r="JL66" s="197" t="str">
        <f t="shared" si="965"/>
        <v>Frankrijk</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Noorwegen</v>
      </c>
      <c r="JX66" s="198">
        <f t="shared" si="89"/>
        <v>1</v>
      </c>
      <c r="JY66" s="197" t="str">
        <f t="shared" si="969"/>
        <v>Frankrijk</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Noorwegen</v>
      </c>
      <c r="KK66" s="198">
        <f t="shared" si="92"/>
        <v>1</v>
      </c>
      <c r="KL66" s="197" t="str">
        <f t="shared" si="973"/>
        <v>Frankrijk</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Noorwegen</v>
      </c>
      <c r="KX66" s="198">
        <f t="shared" si="95"/>
        <v>1</v>
      </c>
      <c r="KY66" s="197" t="str">
        <f t="shared" si="977"/>
        <v>Frankrijk</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Noorwegen</v>
      </c>
      <c r="LK66" s="198">
        <f t="shared" si="98"/>
        <v>1</v>
      </c>
      <c r="LL66" s="197" t="str">
        <f t="shared" si="981"/>
        <v>Frankrijk</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Noorwegen</v>
      </c>
      <c r="LX66" s="198">
        <f t="shared" si="101"/>
        <v>1</v>
      </c>
      <c r="LY66" s="197" t="str">
        <f t="shared" si="985"/>
        <v>Frankrijk</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c r="B67" s="196">
        <f>INDEX(Groups!$C$7:$C$65,MATCH(C67,Groups!$D$7:$D$65,0))</f>
        <v>14</v>
      </c>
      <c r="C67" s="197" t="str">
        <f>CalcI!$P$27</f>
        <v>Senegal</v>
      </c>
      <c r="D67" s="198">
        <f>INDEX(Groups!$C$7:$C$65,MATCH(E67,Groups!$D$7:$D$65,0))</f>
        <v>57</v>
      </c>
      <c r="E67" s="197" t="str">
        <f>CalcI!$Q$27</f>
        <v>Irak</v>
      </c>
      <c r="F67" s="199" t="str">
        <f>CalcI!$R$27</f>
        <v/>
      </c>
      <c r="G67" s="200" t="str">
        <f>CalcI!$S$27</f>
        <v/>
      </c>
      <c r="I67" s="196">
        <f t="shared" si="0"/>
        <v>14</v>
      </c>
      <c r="J67" s="197" t="str">
        <f t="shared" si="884"/>
        <v>Senegal</v>
      </c>
      <c r="K67" s="198">
        <f t="shared" si="26"/>
        <v>57</v>
      </c>
      <c r="L67" s="197" t="str">
        <f t="shared" si="885"/>
        <v>Irak</v>
      </c>
      <c r="M67" s="232"/>
      <c r="N67" s="232"/>
      <c r="O67" s="473"/>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4"/>
      <c r="V67" s="196">
        <f t="shared" si="1"/>
        <v>14</v>
      </c>
      <c r="W67" s="197" t="str">
        <f t="shared" si="888"/>
        <v>Senegal</v>
      </c>
      <c r="X67" s="198">
        <f t="shared" si="29"/>
        <v>57</v>
      </c>
      <c r="Y67" s="197" t="str">
        <f t="shared" si="889"/>
        <v>Irak</v>
      </c>
      <c r="Z67" s="232"/>
      <c r="AA67" s="232"/>
      <c r="AB67" s="473"/>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4"/>
      <c r="AI67" s="196">
        <f t="shared" si="2"/>
        <v>14</v>
      </c>
      <c r="AJ67" s="197" t="str">
        <f t="shared" si="892"/>
        <v>Senegal</v>
      </c>
      <c r="AK67" s="198">
        <f t="shared" si="32"/>
        <v>57</v>
      </c>
      <c r="AL67" s="197" t="str">
        <f t="shared" si="893"/>
        <v>Irak</v>
      </c>
      <c r="AM67" s="232"/>
      <c r="AN67" s="232"/>
      <c r="AO67" s="473"/>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4"/>
      <c r="AV67" s="196">
        <f t="shared" si="3"/>
        <v>14</v>
      </c>
      <c r="AW67" s="197" t="str">
        <f t="shared" si="896"/>
        <v>Senegal</v>
      </c>
      <c r="AX67" s="198">
        <f t="shared" si="35"/>
        <v>57</v>
      </c>
      <c r="AY67" s="197" t="str">
        <f t="shared" si="897"/>
        <v>Irak</v>
      </c>
      <c r="AZ67" s="232"/>
      <c r="BA67" s="232"/>
      <c r="BB67" s="473"/>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4"/>
      <c r="BI67" s="196">
        <f t="shared" si="4"/>
        <v>14</v>
      </c>
      <c r="BJ67" s="197" t="str">
        <f t="shared" si="900"/>
        <v>Senegal</v>
      </c>
      <c r="BK67" s="198">
        <f t="shared" si="38"/>
        <v>57</v>
      </c>
      <c r="BL67" s="197" t="str">
        <f t="shared" si="901"/>
        <v>Irak</v>
      </c>
      <c r="BM67" s="232"/>
      <c r="BN67" s="232"/>
      <c r="BO67" s="473"/>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4"/>
      <c r="BV67" s="196">
        <f t="shared" si="5"/>
        <v>14</v>
      </c>
      <c r="BW67" s="197" t="str">
        <f t="shared" si="904"/>
        <v>Senegal</v>
      </c>
      <c r="BX67" s="198">
        <f t="shared" si="41"/>
        <v>57</v>
      </c>
      <c r="BY67" s="197" t="str">
        <f t="shared" si="905"/>
        <v>Irak</v>
      </c>
      <c r="BZ67" s="232"/>
      <c r="CA67" s="232"/>
      <c r="CB67" s="473"/>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4"/>
      <c r="CI67" s="196">
        <f t="shared" si="6"/>
        <v>14</v>
      </c>
      <c r="CJ67" s="197" t="str">
        <f t="shared" si="908"/>
        <v>Senegal</v>
      </c>
      <c r="CK67" s="198">
        <f t="shared" si="44"/>
        <v>57</v>
      </c>
      <c r="CL67" s="197" t="str">
        <f t="shared" si="909"/>
        <v>Irak</v>
      </c>
      <c r="CM67" s="232"/>
      <c r="CN67" s="232"/>
      <c r="CO67" s="473"/>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4"/>
      <c r="CV67" s="196">
        <f t="shared" si="7"/>
        <v>14</v>
      </c>
      <c r="CW67" s="197" t="str">
        <f t="shared" si="912"/>
        <v>Senegal</v>
      </c>
      <c r="CX67" s="198">
        <f t="shared" si="47"/>
        <v>57</v>
      </c>
      <c r="CY67" s="197" t="str">
        <f t="shared" si="913"/>
        <v>Irak</v>
      </c>
      <c r="CZ67" s="232"/>
      <c r="DA67" s="232"/>
      <c r="DB67" s="473"/>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4"/>
      <c r="DI67" s="196">
        <f t="shared" si="8"/>
        <v>14</v>
      </c>
      <c r="DJ67" s="197" t="str">
        <f t="shared" si="916"/>
        <v>Senegal</v>
      </c>
      <c r="DK67" s="198">
        <f t="shared" si="50"/>
        <v>57</v>
      </c>
      <c r="DL67" s="197" t="str">
        <f t="shared" si="917"/>
        <v>Irak</v>
      </c>
      <c r="DM67" s="232"/>
      <c r="DN67" s="232"/>
      <c r="DO67" s="473"/>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4"/>
      <c r="DV67" s="196">
        <f t="shared" si="9"/>
        <v>14</v>
      </c>
      <c r="DW67" s="197" t="str">
        <f t="shared" si="920"/>
        <v>Senegal</v>
      </c>
      <c r="DX67" s="198">
        <f t="shared" si="53"/>
        <v>57</v>
      </c>
      <c r="DY67" s="197" t="str">
        <f t="shared" si="921"/>
        <v>Irak</v>
      </c>
      <c r="DZ67" s="232"/>
      <c r="EA67" s="232"/>
      <c r="EB67" s="473"/>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4"/>
      <c r="EI67" s="196">
        <f t="shared" si="10"/>
        <v>14</v>
      </c>
      <c r="EJ67" s="197" t="str">
        <f t="shared" si="924"/>
        <v>Senegal</v>
      </c>
      <c r="EK67" s="198">
        <f t="shared" si="56"/>
        <v>57</v>
      </c>
      <c r="EL67" s="197" t="str">
        <f t="shared" si="925"/>
        <v>Irak</v>
      </c>
      <c r="EM67" s="232"/>
      <c r="EN67" s="232"/>
      <c r="EO67" s="473"/>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4"/>
      <c r="EV67" s="196">
        <f t="shared" si="11"/>
        <v>14</v>
      </c>
      <c r="EW67" s="197" t="str">
        <f t="shared" si="928"/>
        <v>Senegal</v>
      </c>
      <c r="EX67" s="198">
        <f t="shared" si="59"/>
        <v>57</v>
      </c>
      <c r="EY67" s="197" t="str">
        <f t="shared" si="929"/>
        <v>Irak</v>
      </c>
      <c r="EZ67" s="232"/>
      <c r="FA67" s="232"/>
      <c r="FB67" s="473"/>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4"/>
      <c r="FI67" s="196">
        <f t="shared" si="12"/>
        <v>14</v>
      </c>
      <c r="FJ67" s="197" t="str">
        <f t="shared" si="932"/>
        <v>Senegal</v>
      </c>
      <c r="FK67" s="198">
        <f t="shared" si="62"/>
        <v>57</v>
      </c>
      <c r="FL67" s="197" t="str">
        <f t="shared" si="933"/>
        <v>Irak</v>
      </c>
      <c r="FM67" s="232"/>
      <c r="FN67" s="232"/>
      <c r="FO67" s="473"/>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4"/>
      <c r="FV67" s="196">
        <f t="shared" si="13"/>
        <v>14</v>
      </c>
      <c r="FW67" s="197" t="str">
        <f t="shared" si="936"/>
        <v>Senegal</v>
      </c>
      <c r="FX67" s="198">
        <f t="shared" si="65"/>
        <v>57</v>
      </c>
      <c r="FY67" s="197" t="str">
        <f t="shared" si="937"/>
        <v>Irak</v>
      </c>
      <c r="FZ67" s="232"/>
      <c r="GA67" s="232"/>
      <c r="GB67" s="473"/>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4"/>
      <c r="GI67" s="196">
        <f t="shared" si="14"/>
        <v>14</v>
      </c>
      <c r="GJ67" s="197" t="str">
        <f t="shared" si="940"/>
        <v>Senegal</v>
      </c>
      <c r="GK67" s="198">
        <f t="shared" si="68"/>
        <v>57</v>
      </c>
      <c r="GL67" s="197" t="str">
        <f t="shared" si="941"/>
        <v>Irak</v>
      </c>
      <c r="GM67" s="232"/>
      <c r="GN67" s="232"/>
      <c r="GO67" s="473"/>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4"/>
      <c r="GV67" s="196">
        <f t="shared" si="15"/>
        <v>14</v>
      </c>
      <c r="GW67" s="197" t="str">
        <f t="shared" si="944"/>
        <v>Senegal</v>
      </c>
      <c r="GX67" s="198">
        <f t="shared" si="71"/>
        <v>57</v>
      </c>
      <c r="GY67" s="197" t="str">
        <f t="shared" si="945"/>
        <v>Irak</v>
      </c>
      <c r="GZ67" s="232"/>
      <c r="HA67" s="232"/>
      <c r="HB67" s="473"/>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4"/>
      <c r="HI67" s="196">
        <f t="shared" si="16"/>
        <v>14</v>
      </c>
      <c r="HJ67" s="197" t="str">
        <f t="shared" si="948"/>
        <v>Senegal</v>
      </c>
      <c r="HK67" s="198">
        <f t="shared" si="74"/>
        <v>57</v>
      </c>
      <c r="HL67" s="197" t="str">
        <f t="shared" si="949"/>
        <v>Irak</v>
      </c>
      <c r="HM67" s="232"/>
      <c r="HN67" s="232"/>
      <c r="HO67" s="473"/>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4"/>
      <c r="HV67" s="196">
        <f t="shared" si="17"/>
        <v>14</v>
      </c>
      <c r="HW67" s="197" t="str">
        <f t="shared" si="952"/>
        <v>Senegal</v>
      </c>
      <c r="HX67" s="198">
        <f t="shared" si="77"/>
        <v>57</v>
      </c>
      <c r="HY67" s="197" t="str">
        <f t="shared" si="953"/>
        <v>Irak</v>
      </c>
      <c r="HZ67" s="232"/>
      <c r="IA67" s="232"/>
      <c r="IB67" s="473"/>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4"/>
      <c r="II67" s="196">
        <f t="shared" si="18"/>
        <v>14</v>
      </c>
      <c r="IJ67" s="197" t="str">
        <f t="shared" si="956"/>
        <v>Senegal</v>
      </c>
      <c r="IK67" s="198">
        <f t="shared" si="80"/>
        <v>57</v>
      </c>
      <c r="IL67" s="197" t="str">
        <f t="shared" si="957"/>
        <v>Irak</v>
      </c>
      <c r="IM67" s="232"/>
      <c r="IN67" s="232"/>
      <c r="IO67" s="473"/>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4"/>
      <c r="IV67" s="196">
        <f t="shared" si="19"/>
        <v>14</v>
      </c>
      <c r="IW67" s="197" t="str">
        <f t="shared" si="960"/>
        <v>Senegal</v>
      </c>
      <c r="IX67" s="198">
        <f t="shared" si="83"/>
        <v>57</v>
      </c>
      <c r="IY67" s="197" t="str">
        <f t="shared" si="961"/>
        <v>Irak</v>
      </c>
      <c r="IZ67" s="232"/>
      <c r="JA67" s="232"/>
      <c r="JB67" s="473"/>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4"/>
      <c r="JI67" s="196">
        <f t="shared" si="20"/>
        <v>14</v>
      </c>
      <c r="JJ67" s="197" t="str">
        <f t="shared" si="964"/>
        <v>Senegal</v>
      </c>
      <c r="JK67" s="198">
        <f t="shared" si="86"/>
        <v>57</v>
      </c>
      <c r="JL67" s="197" t="str">
        <f t="shared" si="965"/>
        <v>Irak</v>
      </c>
      <c r="JM67" s="232"/>
      <c r="JN67" s="232"/>
      <c r="JO67" s="473"/>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4"/>
      <c r="JV67" s="196">
        <f t="shared" si="21"/>
        <v>14</v>
      </c>
      <c r="JW67" s="197" t="str">
        <f t="shared" si="968"/>
        <v>Senegal</v>
      </c>
      <c r="JX67" s="198">
        <f t="shared" si="89"/>
        <v>57</v>
      </c>
      <c r="JY67" s="197" t="str">
        <f t="shared" si="969"/>
        <v>Irak</v>
      </c>
      <c r="JZ67" s="232"/>
      <c r="KA67" s="232"/>
      <c r="KB67" s="473"/>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4"/>
      <c r="KI67" s="196">
        <f t="shared" si="22"/>
        <v>14</v>
      </c>
      <c r="KJ67" s="197" t="str">
        <f t="shared" si="972"/>
        <v>Senegal</v>
      </c>
      <c r="KK67" s="198">
        <f t="shared" si="92"/>
        <v>57</v>
      </c>
      <c r="KL67" s="197" t="str">
        <f t="shared" si="973"/>
        <v>Irak</v>
      </c>
      <c r="KM67" s="232"/>
      <c r="KN67" s="232"/>
      <c r="KO67" s="473"/>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4"/>
      <c r="KV67" s="196">
        <f t="shared" si="23"/>
        <v>14</v>
      </c>
      <c r="KW67" s="197" t="str">
        <f t="shared" si="976"/>
        <v>Senegal</v>
      </c>
      <c r="KX67" s="198">
        <f t="shared" si="95"/>
        <v>57</v>
      </c>
      <c r="KY67" s="197" t="str">
        <f t="shared" si="977"/>
        <v>Irak</v>
      </c>
      <c r="KZ67" s="232"/>
      <c r="LA67" s="232"/>
      <c r="LB67" s="473"/>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4"/>
      <c r="LI67" s="196">
        <f t="shared" si="24"/>
        <v>14</v>
      </c>
      <c r="LJ67" s="197" t="str">
        <f t="shared" si="980"/>
        <v>Senegal</v>
      </c>
      <c r="LK67" s="198">
        <f t="shared" si="98"/>
        <v>57</v>
      </c>
      <c r="LL67" s="197" t="str">
        <f t="shared" si="981"/>
        <v>Irak</v>
      </c>
      <c r="LM67" s="232"/>
      <c r="LN67" s="232"/>
      <c r="LO67" s="473"/>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4"/>
      <c r="LV67" s="196">
        <f t="shared" si="25"/>
        <v>14</v>
      </c>
      <c r="LW67" s="197" t="str">
        <f t="shared" si="984"/>
        <v>Senegal</v>
      </c>
      <c r="LX67" s="198">
        <f t="shared" si="101"/>
        <v>57</v>
      </c>
      <c r="LY67" s="197" t="str">
        <f t="shared" si="985"/>
        <v>Irak</v>
      </c>
      <c r="LZ67" s="232"/>
      <c r="MA67" s="232"/>
      <c r="MB67" s="473"/>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4"/>
    </row>
    <row r="68" spans="2:345" ht="24" customHeight="1">
      <c r="B68" s="205" t="str">
        <f>Language!$E$130&amp;" J"</f>
        <v>Groep J</v>
      </c>
      <c r="C68" s="206"/>
      <c r="D68" s="211"/>
      <c r="E68" s="208"/>
      <c r="F68" s="212"/>
      <c r="G68" s="213"/>
      <c r="I68" s="205" t="str">
        <f t="shared" si="0"/>
        <v>Groep J</v>
      </c>
      <c r="J68" s="207"/>
      <c r="K68" s="211"/>
      <c r="L68" s="208"/>
      <c r="M68" s="236"/>
      <c r="N68" s="237"/>
      <c r="O68" s="209"/>
      <c r="P68" s="220"/>
      <c r="Q68" s="220"/>
      <c r="R68" s="208"/>
      <c r="S68" s="208"/>
      <c r="T68" s="221"/>
      <c r="V68" s="205" t="str">
        <f t="shared" si="1"/>
        <v>Groep J</v>
      </c>
      <c r="W68" s="207"/>
      <c r="X68" s="211"/>
      <c r="Y68" s="208"/>
      <c r="Z68" s="236"/>
      <c r="AA68" s="237"/>
      <c r="AB68" s="209"/>
      <c r="AC68" s="220"/>
      <c r="AD68" s="220"/>
      <c r="AE68" s="208"/>
      <c r="AF68" s="208"/>
      <c r="AG68" s="221"/>
      <c r="AI68" s="205" t="str">
        <f t="shared" si="2"/>
        <v>Groep J</v>
      </c>
      <c r="AJ68" s="207"/>
      <c r="AK68" s="211"/>
      <c r="AL68" s="208"/>
      <c r="AM68" s="236"/>
      <c r="AN68" s="237"/>
      <c r="AO68" s="209"/>
      <c r="AP68" s="220"/>
      <c r="AQ68" s="220"/>
      <c r="AR68" s="208"/>
      <c r="AS68" s="208"/>
      <c r="AT68" s="221"/>
      <c r="AV68" s="205" t="str">
        <f t="shared" si="3"/>
        <v>Groep J</v>
      </c>
      <c r="AW68" s="207"/>
      <c r="AX68" s="211"/>
      <c r="AY68" s="208"/>
      <c r="AZ68" s="236"/>
      <c r="BA68" s="237"/>
      <c r="BB68" s="209"/>
      <c r="BC68" s="220"/>
      <c r="BD68" s="220"/>
      <c r="BE68" s="208"/>
      <c r="BF68" s="208"/>
      <c r="BG68" s="221"/>
      <c r="BI68" s="205" t="str">
        <f t="shared" si="4"/>
        <v>Groep J</v>
      </c>
      <c r="BJ68" s="207"/>
      <c r="BK68" s="211"/>
      <c r="BL68" s="208"/>
      <c r="BM68" s="236"/>
      <c r="BN68" s="237"/>
      <c r="BO68" s="209"/>
      <c r="BP68" s="220"/>
      <c r="BQ68" s="220"/>
      <c r="BR68" s="208"/>
      <c r="BS68" s="208"/>
      <c r="BT68" s="221"/>
      <c r="BV68" s="205" t="str">
        <f t="shared" si="5"/>
        <v>Groep J</v>
      </c>
      <c r="BW68" s="207"/>
      <c r="BX68" s="211"/>
      <c r="BY68" s="208"/>
      <c r="BZ68" s="236"/>
      <c r="CA68" s="237"/>
      <c r="CB68" s="209"/>
      <c r="CC68" s="220"/>
      <c r="CD68" s="220"/>
      <c r="CE68" s="208"/>
      <c r="CF68" s="208"/>
      <c r="CG68" s="221"/>
      <c r="CI68" s="205" t="str">
        <f t="shared" si="6"/>
        <v>Groep J</v>
      </c>
      <c r="CJ68" s="207"/>
      <c r="CK68" s="211"/>
      <c r="CL68" s="208"/>
      <c r="CM68" s="236"/>
      <c r="CN68" s="237"/>
      <c r="CO68" s="209"/>
      <c r="CP68" s="220"/>
      <c r="CQ68" s="220"/>
      <c r="CR68" s="208"/>
      <c r="CS68" s="208"/>
      <c r="CT68" s="221"/>
      <c r="CV68" s="205" t="str">
        <f t="shared" si="7"/>
        <v>Groep J</v>
      </c>
      <c r="CW68" s="207"/>
      <c r="CX68" s="211"/>
      <c r="CY68" s="208"/>
      <c r="CZ68" s="236"/>
      <c r="DA68" s="237"/>
      <c r="DB68" s="209"/>
      <c r="DC68" s="220"/>
      <c r="DD68" s="220"/>
      <c r="DE68" s="208"/>
      <c r="DF68" s="208"/>
      <c r="DG68" s="221"/>
      <c r="DI68" s="205" t="str">
        <f t="shared" si="8"/>
        <v>Groep J</v>
      </c>
      <c r="DJ68" s="207"/>
      <c r="DK68" s="211"/>
      <c r="DL68" s="208"/>
      <c r="DM68" s="236"/>
      <c r="DN68" s="237"/>
      <c r="DO68" s="209"/>
      <c r="DP68" s="220"/>
      <c r="DQ68" s="220"/>
      <c r="DR68" s="208"/>
      <c r="DS68" s="208"/>
      <c r="DT68" s="221"/>
      <c r="DV68" s="205" t="str">
        <f t="shared" si="9"/>
        <v>Groep J</v>
      </c>
      <c r="DW68" s="207"/>
      <c r="DX68" s="211"/>
      <c r="DY68" s="208"/>
      <c r="DZ68" s="236"/>
      <c r="EA68" s="237"/>
      <c r="EB68" s="209"/>
      <c r="EC68" s="220"/>
      <c r="ED68" s="220"/>
      <c r="EE68" s="208"/>
      <c r="EF68" s="208"/>
      <c r="EG68" s="221"/>
      <c r="EI68" s="205" t="str">
        <f t="shared" si="10"/>
        <v>Groep J</v>
      </c>
      <c r="EJ68" s="207"/>
      <c r="EK68" s="211"/>
      <c r="EL68" s="208"/>
      <c r="EM68" s="236"/>
      <c r="EN68" s="237"/>
      <c r="EO68" s="209"/>
      <c r="EP68" s="220"/>
      <c r="EQ68" s="220"/>
      <c r="ER68" s="208"/>
      <c r="ES68" s="208"/>
      <c r="ET68" s="221"/>
      <c r="EV68" s="205" t="str">
        <f t="shared" si="11"/>
        <v>Groep J</v>
      </c>
      <c r="EW68" s="207"/>
      <c r="EX68" s="211"/>
      <c r="EY68" s="208"/>
      <c r="EZ68" s="236"/>
      <c r="FA68" s="237"/>
      <c r="FB68" s="209"/>
      <c r="FC68" s="220"/>
      <c r="FD68" s="220"/>
      <c r="FE68" s="208"/>
      <c r="FF68" s="208"/>
      <c r="FG68" s="221"/>
      <c r="FI68" s="205" t="str">
        <f t="shared" si="12"/>
        <v>Groep J</v>
      </c>
      <c r="FJ68" s="207"/>
      <c r="FK68" s="211"/>
      <c r="FL68" s="208"/>
      <c r="FM68" s="236"/>
      <c r="FN68" s="237"/>
      <c r="FO68" s="209"/>
      <c r="FP68" s="220"/>
      <c r="FQ68" s="220"/>
      <c r="FR68" s="208"/>
      <c r="FS68" s="208"/>
      <c r="FT68" s="221"/>
      <c r="FV68" s="205" t="str">
        <f t="shared" si="13"/>
        <v>Groep J</v>
      </c>
      <c r="FW68" s="207"/>
      <c r="FX68" s="211"/>
      <c r="FY68" s="208"/>
      <c r="FZ68" s="236"/>
      <c r="GA68" s="237"/>
      <c r="GB68" s="209"/>
      <c r="GC68" s="220"/>
      <c r="GD68" s="220"/>
      <c r="GE68" s="208"/>
      <c r="GF68" s="208"/>
      <c r="GG68" s="221"/>
      <c r="GI68" s="205" t="str">
        <f t="shared" si="14"/>
        <v>Groep J</v>
      </c>
      <c r="GJ68" s="207"/>
      <c r="GK68" s="211"/>
      <c r="GL68" s="208"/>
      <c r="GM68" s="236"/>
      <c r="GN68" s="237"/>
      <c r="GO68" s="209"/>
      <c r="GP68" s="220"/>
      <c r="GQ68" s="220"/>
      <c r="GR68" s="208"/>
      <c r="GS68" s="208"/>
      <c r="GT68" s="221"/>
      <c r="GV68" s="205" t="str">
        <f t="shared" si="15"/>
        <v>Groep J</v>
      </c>
      <c r="GW68" s="207"/>
      <c r="GX68" s="211"/>
      <c r="GY68" s="208"/>
      <c r="GZ68" s="236"/>
      <c r="HA68" s="237"/>
      <c r="HB68" s="209"/>
      <c r="HC68" s="220"/>
      <c r="HD68" s="220"/>
      <c r="HE68" s="208"/>
      <c r="HF68" s="208"/>
      <c r="HG68" s="221"/>
      <c r="HI68" s="205" t="str">
        <f t="shared" si="16"/>
        <v>Groep J</v>
      </c>
      <c r="HJ68" s="207"/>
      <c r="HK68" s="211"/>
      <c r="HL68" s="208"/>
      <c r="HM68" s="236"/>
      <c r="HN68" s="237"/>
      <c r="HO68" s="209"/>
      <c r="HP68" s="220"/>
      <c r="HQ68" s="220"/>
      <c r="HR68" s="208"/>
      <c r="HS68" s="208"/>
      <c r="HT68" s="221"/>
      <c r="HV68" s="205" t="str">
        <f t="shared" si="17"/>
        <v>Groep J</v>
      </c>
      <c r="HW68" s="207"/>
      <c r="HX68" s="211"/>
      <c r="HY68" s="208"/>
      <c r="HZ68" s="236"/>
      <c r="IA68" s="237"/>
      <c r="IB68" s="209"/>
      <c r="IC68" s="220"/>
      <c r="ID68" s="220"/>
      <c r="IE68" s="208"/>
      <c r="IF68" s="208"/>
      <c r="IG68" s="221"/>
      <c r="II68" s="205" t="str">
        <f t="shared" si="18"/>
        <v>Groep J</v>
      </c>
      <c r="IJ68" s="207"/>
      <c r="IK68" s="211"/>
      <c r="IL68" s="208"/>
      <c r="IM68" s="236"/>
      <c r="IN68" s="237"/>
      <c r="IO68" s="209"/>
      <c r="IP68" s="220"/>
      <c r="IQ68" s="220"/>
      <c r="IR68" s="208"/>
      <c r="IS68" s="208"/>
      <c r="IT68" s="221"/>
      <c r="IV68" s="205" t="str">
        <f t="shared" si="19"/>
        <v>Groep J</v>
      </c>
      <c r="IW68" s="207"/>
      <c r="IX68" s="211"/>
      <c r="IY68" s="208"/>
      <c r="IZ68" s="236"/>
      <c r="JA68" s="237"/>
      <c r="JB68" s="209"/>
      <c r="JC68" s="220"/>
      <c r="JD68" s="220"/>
      <c r="JE68" s="208"/>
      <c r="JF68" s="208"/>
      <c r="JG68" s="221"/>
      <c r="JI68" s="205" t="str">
        <f t="shared" si="20"/>
        <v>Groep J</v>
      </c>
      <c r="JJ68" s="207"/>
      <c r="JK68" s="211"/>
      <c r="JL68" s="208"/>
      <c r="JM68" s="236"/>
      <c r="JN68" s="237"/>
      <c r="JO68" s="209"/>
      <c r="JP68" s="220"/>
      <c r="JQ68" s="220"/>
      <c r="JR68" s="208"/>
      <c r="JS68" s="208"/>
      <c r="JT68" s="221"/>
      <c r="JV68" s="205" t="str">
        <f t="shared" si="21"/>
        <v>Groep J</v>
      </c>
      <c r="JW68" s="207"/>
      <c r="JX68" s="211"/>
      <c r="JY68" s="208"/>
      <c r="JZ68" s="236"/>
      <c r="KA68" s="237"/>
      <c r="KB68" s="209"/>
      <c r="KC68" s="220"/>
      <c r="KD68" s="220"/>
      <c r="KE68" s="208"/>
      <c r="KF68" s="208"/>
      <c r="KG68" s="221"/>
      <c r="KI68" s="205" t="str">
        <f t="shared" si="22"/>
        <v>Groep J</v>
      </c>
      <c r="KJ68" s="207"/>
      <c r="KK68" s="211"/>
      <c r="KL68" s="208"/>
      <c r="KM68" s="236"/>
      <c r="KN68" s="237"/>
      <c r="KO68" s="209"/>
      <c r="KP68" s="220"/>
      <c r="KQ68" s="220"/>
      <c r="KR68" s="208"/>
      <c r="KS68" s="208"/>
      <c r="KT68" s="221"/>
      <c r="KV68" s="205" t="str">
        <f t="shared" si="23"/>
        <v>Groep J</v>
      </c>
      <c r="KW68" s="207"/>
      <c r="KX68" s="211"/>
      <c r="KY68" s="208"/>
      <c r="KZ68" s="236"/>
      <c r="LA68" s="237"/>
      <c r="LB68" s="209"/>
      <c r="LC68" s="220"/>
      <c r="LD68" s="220"/>
      <c r="LE68" s="208"/>
      <c r="LF68" s="208"/>
      <c r="LG68" s="221"/>
      <c r="LI68" s="205" t="str">
        <f t="shared" si="24"/>
        <v>Groep J</v>
      </c>
      <c r="LJ68" s="207"/>
      <c r="LK68" s="211"/>
      <c r="LL68" s="208"/>
      <c r="LM68" s="236"/>
      <c r="LN68" s="237"/>
      <c r="LO68" s="209"/>
      <c r="LP68" s="220"/>
      <c r="LQ68" s="220"/>
      <c r="LR68" s="208"/>
      <c r="LS68" s="208"/>
      <c r="LT68" s="221"/>
      <c r="LV68" s="205" t="str">
        <f t="shared" si="25"/>
        <v>Groep J</v>
      </c>
      <c r="LW68" s="207"/>
      <c r="LX68" s="211"/>
      <c r="LY68" s="208"/>
      <c r="LZ68" s="236"/>
      <c r="MA68" s="237"/>
      <c r="MB68" s="209"/>
      <c r="MC68" s="220"/>
      <c r="MD68" s="220"/>
      <c r="ME68" s="208"/>
      <c r="MF68" s="208"/>
      <c r="MG68" s="221"/>
    </row>
    <row r="69" spans="2:345">
      <c r="B69" s="196">
        <f>INDEX(Groups!$C$7:$C$65,MATCH(C69,Groups!$D$7:$D$65,0))</f>
        <v>3</v>
      </c>
      <c r="C69" s="197" t="str">
        <f>CalcJ!$P$22</f>
        <v>Argentinië</v>
      </c>
      <c r="D69" s="198">
        <f>INDEX(Groups!$C$7:$C$65,MATCH(E69,Groups!$D$7:$D$65,0))</f>
        <v>28</v>
      </c>
      <c r="E69" s="197" t="str">
        <f>CalcJ!$Q$22</f>
        <v>Algerije</v>
      </c>
      <c r="F69" s="199" t="str">
        <f>CalcJ!$R$22</f>
        <v/>
      </c>
      <c r="G69" s="200" t="str">
        <f>CalcJ!$S$22</f>
        <v/>
      </c>
      <c r="I69" s="196">
        <f t="shared" ref="I69:I88" si="988">$B69</f>
        <v>3</v>
      </c>
      <c r="J69" s="197" t="str">
        <f t="shared" ref="J69:J74" si="989">$C69</f>
        <v>Argentinië</v>
      </c>
      <c r="K69" s="198">
        <f t="shared" si="26"/>
        <v>28</v>
      </c>
      <c r="L69" s="197" t="str">
        <f t="shared" ref="L69:L74" si="990">$E69</f>
        <v>Algerije</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Argentinië</v>
      </c>
      <c r="X69" s="198">
        <f t="shared" si="29"/>
        <v>28</v>
      </c>
      <c r="Y69" s="197" t="str">
        <f t="shared" ref="Y69:Y74" si="995">$E69</f>
        <v>Algerije</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Argentinië</v>
      </c>
      <c r="AK69" s="198">
        <f t="shared" si="32"/>
        <v>28</v>
      </c>
      <c r="AL69" s="197" t="str">
        <f t="shared" ref="AL69:AL74" si="1000">$E69</f>
        <v>Algerije</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Argentinië</v>
      </c>
      <c r="AX69" s="198">
        <f t="shared" si="35"/>
        <v>28</v>
      </c>
      <c r="AY69" s="197" t="str">
        <f t="shared" ref="AY69:AY74" si="1005">$E69</f>
        <v>Algerije</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Argentinië</v>
      </c>
      <c r="BK69" s="198">
        <f t="shared" si="38"/>
        <v>28</v>
      </c>
      <c r="BL69" s="197" t="str">
        <f t="shared" ref="BL69:BL74" si="1010">$E69</f>
        <v>Algerije</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Argentinië</v>
      </c>
      <c r="BX69" s="198">
        <f t="shared" si="41"/>
        <v>28</v>
      </c>
      <c r="BY69" s="197" t="str">
        <f t="shared" ref="BY69:BY74" si="1015">$E69</f>
        <v>Algerije</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Argentinië</v>
      </c>
      <c r="CK69" s="198">
        <f t="shared" si="44"/>
        <v>28</v>
      </c>
      <c r="CL69" s="197" t="str">
        <f t="shared" ref="CL69:CL74" si="1020">$E69</f>
        <v>Algerije</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Argentinië</v>
      </c>
      <c r="CX69" s="198">
        <f t="shared" si="47"/>
        <v>28</v>
      </c>
      <c r="CY69" s="197" t="str">
        <f t="shared" ref="CY69:CY74" si="1025">$E69</f>
        <v>Algerije</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Argentinië</v>
      </c>
      <c r="DK69" s="198">
        <f t="shared" si="50"/>
        <v>28</v>
      </c>
      <c r="DL69" s="197" t="str">
        <f t="shared" ref="DL69:DL74" si="1030">$E69</f>
        <v>Algerije</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Argentinië</v>
      </c>
      <c r="DX69" s="198">
        <f t="shared" si="53"/>
        <v>28</v>
      </c>
      <c r="DY69" s="197" t="str">
        <f t="shared" ref="DY69:DY74" si="1035">$E69</f>
        <v>Algerije</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Argentinië</v>
      </c>
      <c r="EK69" s="198">
        <f t="shared" si="56"/>
        <v>28</v>
      </c>
      <c r="EL69" s="197" t="str">
        <f t="shared" ref="EL69:EL74" si="1040">$E69</f>
        <v>Algerije</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Argentinië</v>
      </c>
      <c r="EX69" s="198">
        <f t="shared" si="59"/>
        <v>28</v>
      </c>
      <c r="EY69" s="197" t="str">
        <f t="shared" ref="EY69:EY74" si="1045">$E69</f>
        <v>Algerije</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Argentinië</v>
      </c>
      <c r="FK69" s="198">
        <f t="shared" si="62"/>
        <v>28</v>
      </c>
      <c r="FL69" s="197" t="str">
        <f t="shared" ref="FL69:FL74" si="1050">$E69</f>
        <v>Algerije</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Argentinië</v>
      </c>
      <c r="FX69" s="198">
        <f t="shared" si="65"/>
        <v>28</v>
      </c>
      <c r="FY69" s="197" t="str">
        <f t="shared" ref="FY69:FY74" si="1055">$E69</f>
        <v>Algerije</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Argentinië</v>
      </c>
      <c r="GK69" s="198">
        <f t="shared" si="68"/>
        <v>28</v>
      </c>
      <c r="GL69" s="197" t="str">
        <f t="shared" ref="GL69:GL74" si="1060">$E69</f>
        <v>Algerije</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Argentinië</v>
      </c>
      <c r="GX69" s="198">
        <f t="shared" si="71"/>
        <v>28</v>
      </c>
      <c r="GY69" s="197" t="str">
        <f t="shared" ref="GY69:GY74" si="1065">$E69</f>
        <v>Algerije</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Argentinië</v>
      </c>
      <c r="HK69" s="198">
        <f t="shared" si="74"/>
        <v>28</v>
      </c>
      <c r="HL69" s="197" t="str">
        <f t="shared" ref="HL69:HL74" si="1070">$E69</f>
        <v>Algerije</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Argentinië</v>
      </c>
      <c r="HX69" s="198">
        <f t="shared" si="77"/>
        <v>28</v>
      </c>
      <c r="HY69" s="197" t="str">
        <f t="shared" ref="HY69:HY74" si="1075">$E69</f>
        <v>Algerije</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Argentinië</v>
      </c>
      <c r="IK69" s="198">
        <f t="shared" si="80"/>
        <v>28</v>
      </c>
      <c r="IL69" s="197" t="str">
        <f t="shared" ref="IL69:IL74" si="1080">$E69</f>
        <v>Algerije</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Argentinië</v>
      </c>
      <c r="IX69" s="198">
        <f t="shared" si="83"/>
        <v>28</v>
      </c>
      <c r="IY69" s="197" t="str">
        <f t="shared" ref="IY69:IY74" si="1085">$E69</f>
        <v>Algerije</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Argentinië</v>
      </c>
      <c r="JK69" s="198">
        <f t="shared" si="86"/>
        <v>28</v>
      </c>
      <c r="JL69" s="197" t="str">
        <f t="shared" ref="JL69:JL74" si="1090">$E69</f>
        <v>Algerije</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Argentinië</v>
      </c>
      <c r="JX69" s="198">
        <f t="shared" si="89"/>
        <v>28</v>
      </c>
      <c r="JY69" s="197" t="str">
        <f t="shared" ref="JY69:JY74" si="1095">$E69</f>
        <v>Algerije</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Argentinië</v>
      </c>
      <c r="KK69" s="198">
        <f t="shared" si="92"/>
        <v>28</v>
      </c>
      <c r="KL69" s="197" t="str">
        <f t="shared" ref="KL69:KL74" si="1100">$E69</f>
        <v>Algerije</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Argentinië</v>
      </c>
      <c r="KX69" s="198">
        <f t="shared" si="95"/>
        <v>28</v>
      </c>
      <c r="KY69" s="197" t="str">
        <f t="shared" ref="KY69:KY74" si="1105">$E69</f>
        <v>Algerije</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Argentinië</v>
      </c>
      <c r="LK69" s="198">
        <f t="shared" si="98"/>
        <v>28</v>
      </c>
      <c r="LL69" s="197" t="str">
        <f t="shared" ref="LL69:LL74" si="1110">$E69</f>
        <v>Algerije</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Argentinië</v>
      </c>
      <c r="LX69" s="198">
        <f t="shared" si="101"/>
        <v>28</v>
      </c>
      <c r="LY69" s="197" t="str">
        <f t="shared" ref="LY69:LY74" si="1115">$E69</f>
        <v>Algerije</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c r="B70" s="196">
        <f>INDEX(Groups!$C$7:$C$65,MATCH(C70,Groups!$D$7:$D$65,0))</f>
        <v>24</v>
      </c>
      <c r="C70" s="197" t="str">
        <f>CalcJ!$P$23</f>
        <v>Oostenrijk</v>
      </c>
      <c r="D70" s="198">
        <f>INDEX(Groups!$C$7:$C$65,MATCH(E70,Groups!$D$7:$D$65,0))</f>
        <v>63</v>
      </c>
      <c r="E70" s="197" t="str">
        <f>CalcJ!$Q$23</f>
        <v>Jordanië</v>
      </c>
      <c r="F70" s="725" t="str">
        <f>CalcJ!$R$23</f>
        <v/>
      </c>
      <c r="G70" s="200" t="str">
        <f>CalcJ!$S$23</f>
        <v/>
      </c>
      <c r="I70" s="196">
        <f t="shared" si="988"/>
        <v>24</v>
      </c>
      <c r="J70" s="197" t="str">
        <f t="shared" si="989"/>
        <v>Oostenrijk</v>
      </c>
      <c r="K70" s="198">
        <f t="shared" ref="K70:K74" si="1118">$D70</f>
        <v>63</v>
      </c>
      <c r="L70" s="197" t="str">
        <f t="shared" si="990"/>
        <v>Jordanië</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Oostenrijk</v>
      </c>
      <c r="X70" s="198">
        <f t="shared" ref="X70:X74" si="1119">$D70</f>
        <v>63</v>
      </c>
      <c r="Y70" s="197" t="str">
        <f t="shared" si="995"/>
        <v>Jordanië</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Oostenrijk</v>
      </c>
      <c r="AK70" s="198">
        <f t="shared" ref="AK70:AK74" si="1120">$D70</f>
        <v>63</v>
      </c>
      <c r="AL70" s="197" t="str">
        <f t="shared" si="1000"/>
        <v>Jordanië</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Oostenrijk</v>
      </c>
      <c r="AX70" s="198">
        <f t="shared" ref="AX70:AX74" si="1121">$D70</f>
        <v>63</v>
      </c>
      <c r="AY70" s="197" t="str">
        <f t="shared" si="1005"/>
        <v>Jordanië</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Oostenrijk</v>
      </c>
      <c r="BK70" s="198">
        <f t="shared" ref="BK70:BK74" si="1122">$D70</f>
        <v>63</v>
      </c>
      <c r="BL70" s="197" t="str">
        <f t="shared" si="1010"/>
        <v>Jordanië</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Oostenrijk</v>
      </c>
      <c r="BX70" s="198">
        <f t="shared" ref="BX70:BX74" si="1123">$D70</f>
        <v>63</v>
      </c>
      <c r="BY70" s="197" t="str">
        <f t="shared" si="1015"/>
        <v>Jordanië</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Oostenrijk</v>
      </c>
      <c r="CK70" s="198">
        <f t="shared" ref="CK70:CK74" si="1124">$D70</f>
        <v>63</v>
      </c>
      <c r="CL70" s="197" t="str">
        <f t="shared" si="1020"/>
        <v>Jordanië</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Oostenrijk</v>
      </c>
      <c r="CX70" s="198">
        <f t="shared" ref="CX70:CX74" si="1125">$D70</f>
        <v>63</v>
      </c>
      <c r="CY70" s="197" t="str">
        <f t="shared" si="1025"/>
        <v>Jordanië</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Oostenrijk</v>
      </c>
      <c r="DK70" s="198">
        <f t="shared" ref="DK70:DK74" si="1126">$D70</f>
        <v>63</v>
      </c>
      <c r="DL70" s="197" t="str">
        <f t="shared" si="1030"/>
        <v>Jordanië</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Oostenrijk</v>
      </c>
      <c r="DX70" s="198">
        <f t="shared" ref="DX70:DX74" si="1127">$D70</f>
        <v>63</v>
      </c>
      <c r="DY70" s="197" t="str">
        <f t="shared" si="1035"/>
        <v>Jordanië</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Oostenrijk</v>
      </c>
      <c r="EK70" s="198">
        <f t="shared" ref="EK70:EK74" si="1128">$D70</f>
        <v>63</v>
      </c>
      <c r="EL70" s="197" t="str">
        <f t="shared" si="1040"/>
        <v>Jordanië</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Oostenrijk</v>
      </c>
      <c r="EX70" s="198">
        <f t="shared" ref="EX70:EX74" si="1129">$D70</f>
        <v>63</v>
      </c>
      <c r="EY70" s="197" t="str">
        <f t="shared" si="1045"/>
        <v>Jordanië</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Oostenrijk</v>
      </c>
      <c r="FK70" s="198">
        <f t="shared" ref="FK70:FK74" si="1130">$D70</f>
        <v>63</v>
      </c>
      <c r="FL70" s="197" t="str">
        <f t="shared" si="1050"/>
        <v>Jordanië</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Oostenrijk</v>
      </c>
      <c r="FX70" s="198">
        <f t="shared" ref="FX70:FX74" si="1131">$D70</f>
        <v>63</v>
      </c>
      <c r="FY70" s="197" t="str">
        <f t="shared" si="1055"/>
        <v>Jordanië</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Oostenrijk</v>
      </c>
      <c r="GK70" s="198">
        <f t="shared" ref="GK70:GK74" si="1132">$D70</f>
        <v>63</v>
      </c>
      <c r="GL70" s="197" t="str">
        <f t="shared" si="1060"/>
        <v>Jordanië</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Oostenrijk</v>
      </c>
      <c r="GX70" s="198">
        <f t="shared" ref="GX70:GX74" si="1133">$D70</f>
        <v>63</v>
      </c>
      <c r="GY70" s="197" t="str">
        <f t="shared" si="1065"/>
        <v>Jordanië</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Oostenrijk</v>
      </c>
      <c r="HK70" s="198">
        <f t="shared" ref="HK70:HK74" si="1134">$D70</f>
        <v>63</v>
      </c>
      <c r="HL70" s="197" t="str">
        <f t="shared" si="1070"/>
        <v>Jordanië</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Oostenrijk</v>
      </c>
      <c r="HX70" s="198">
        <f t="shared" ref="HX70:HX74" si="1135">$D70</f>
        <v>63</v>
      </c>
      <c r="HY70" s="197" t="str">
        <f t="shared" si="1075"/>
        <v>Jordanië</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Oostenrijk</v>
      </c>
      <c r="IK70" s="198">
        <f t="shared" ref="IK70:IK74" si="1136">$D70</f>
        <v>63</v>
      </c>
      <c r="IL70" s="197" t="str">
        <f t="shared" si="1080"/>
        <v>Jordanië</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Oostenrijk</v>
      </c>
      <c r="IX70" s="198">
        <f t="shared" ref="IX70:IX74" si="1137">$D70</f>
        <v>63</v>
      </c>
      <c r="IY70" s="197" t="str">
        <f t="shared" si="1085"/>
        <v>Jordanië</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Oostenrijk</v>
      </c>
      <c r="JK70" s="198">
        <f t="shared" ref="JK70:JK74" si="1138">$D70</f>
        <v>63</v>
      </c>
      <c r="JL70" s="197" t="str">
        <f t="shared" si="1090"/>
        <v>Jordanië</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Oostenrijk</v>
      </c>
      <c r="JX70" s="198">
        <f t="shared" ref="JX70:JX74" si="1139">$D70</f>
        <v>63</v>
      </c>
      <c r="JY70" s="197" t="str">
        <f t="shared" si="1095"/>
        <v>Jordanië</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Oostenrijk</v>
      </c>
      <c r="KK70" s="198">
        <f t="shared" ref="KK70:KK74" si="1140">$D70</f>
        <v>63</v>
      </c>
      <c r="KL70" s="197" t="str">
        <f t="shared" si="1100"/>
        <v>Jordanië</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Oostenrijk</v>
      </c>
      <c r="KX70" s="198">
        <f t="shared" ref="KX70:KX74" si="1141">$D70</f>
        <v>63</v>
      </c>
      <c r="KY70" s="197" t="str">
        <f t="shared" si="1105"/>
        <v>Jordanië</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Oostenrijk</v>
      </c>
      <c r="LK70" s="198">
        <f t="shared" ref="LK70:LK74" si="1142">$D70</f>
        <v>63</v>
      </c>
      <c r="LL70" s="197" t="str">
        <f t="shared" si="1110"/>
        <v>Jordanië</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Oostenrijk</v>
      </c>
      <c r="LX70" s="198">
        <f t="shared" ref="LX70:LX74" si="1143">$D70</f>
        <v>63</v>
      </c>
      <c r="LY70" s="197" t="str">
        <f t="shared" si="1115"/>
        <v>Jordanië</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c r="B71" s="196">
        <f>INDEX(Groups!$C$7:$C$65,MATCH(C71,Groups!$D$7:$D$65,0))</f>
        <v>3</v>
      </c>
      <c r="C71" s="197" t="str">
        <f>CalcJ!$P$24</f>
        <v>Argentinië</v>
      </c>
      <c r="D71" s="198">
        <f>INDEX(Groups!$C$7:$C$65,MATCH(E71,Groups!$D$7:$D$65,0))</f>
        <v>24</v>
      </c>
      <c r="E71" s="197" t="str">
        <f>CalcJ!$Q$24</f>
        <v>Oostenrijk</v>
      </c>
      <c r="F71" s="199" t="str">
        <f>CalcJ!$R$24</f>
        <v/>
      </c>
      <c r="G71" s="200" t="str">
        <f>CalcJ!$S$24</f>
        <v/>
      </c>
      <c r="I71" s="196">
        <f t="shared" si="988"/>
        <v>3</v>
      </c>
      <c r="J71" s="197" t="str">
        <f t="shared" si="989"/>
        <v>Argentinië</v>
      </c>
      <c r="K71" s="198">
        <f t="shared" si="1118"/>
        <v>24</v>
      </c>
      <c r="L71" s="197" t="str">
        <f t="shared" si="990"/>
        <v>Oostenrijk</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Argentinië</v>
      </c>
      <c r="X71" s="198">
        <f t="shared" si="1119"/>
        <v>24</v>
      </c>
      <c r="Y71" s="197" t="str">
        <f t="shared" si="995"/>
        <v>Oostenrijk</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Argentinië</v>
      </c>
      <c r="AK71" s="198">
        <f t="shared" si="1120"/>
        <v>24</v>
      </c>
      <c r="AL71" s="197" t="str">
        <f t="shared" si="1000"/>
        <v>Oostenrijk</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Argentinië</v>
      </c>
      <c r="AX71" s="198">
        <f t="shared" si="1121"/>
        <v>24</v>
      </c>
      <c r="AY71" s="197" t="str">
        <f t="shared" si="1005"/>
        <v>Oostenrijk</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Argentinië</v>
      </c>
      <c r="BK71" s="198">
        <f t="shared" si="1122"/>
        <v>24</v>
      </c>
      <c r="BL71" s="197" t="str">
        <f t="shared" si="1010"/>
        <v>Oostenrijk</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Argentinië</v>
      </c>
      <c r="BX71" s="198">
        <f t="shared" si="1123"/>
        <v>24</v>
      </c>
      <c r="BY71" s="197" t="str">
        <f t="shared" si="1015"/>
        <v>Oostenrijk</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Argentinië</v>
      </c>
      <c r="CK71" s="198">
        <f t="shared" si="1124"/>
        <v>24</v>
      </c>
      <c r="CL71" s="197" t="str">
        <f t="shared" si="1020"/>
        <v>Oostenrijk</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Argentinië</v>
      </c>
      <c r="CX71" s="198">
        <f t="shared" si="1125"/>
        <v>24</v>
      </c>
      <c r="CY71" s="197" t="str">
        <f t="shared" si="1025"/>
        <v>Oostenrijk</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Argentinië</v>
      </c>
      <c r="DK71" s="198">
        <f t="shared" si="1126"/>
        <v>24</v>
      </c>
      <c r="DL71" s="197" t="str">
        <f t="shared" si="1030"/>
        <v>Oostenrijk</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Argentinië</v>
      </c>
      <c r="DX71" s="198">
        <f t="shared" si="1127"/>
        <v>24</v>
      </c>
      <c r="DY71" s="197" t="str">
        <f t="shared" si="1035"/>
        <v>Oostenrijk</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Argentinië</v>
      </c>
      <c r="EK71" s="198">
        <f t="shared" si="1128"/>
        <v>24</v>
      </c>
      <c r="EL71" s="197" t="str">
        <f t="shared" si="1040"/>
        <v>Oostenrijk</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Argentinië</v>
      </c>
      <c r="EX71" s="198">
        <f t="shared" si="1129"/>
        <v>24</v>
      </c>
      <c r="EY71" s="197" t="str">
        <f t="shared" si="1045"/>
        <v>Oostenrijk</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Argentinië</v>
      </c>
      <c r="FK71" s="198">
        <f t="shared" si="1130"/>
        <v>24</v>
      </c>
      <c r="FL71" s="197" t="str">
        <f t="shared" si="1050"/>
        <v>Oostenrijk</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Argentinië</v>
      </c>
      <c r="FX71" s="198">
        <f t="shared" si="1131"/>
        <v>24</v>
      </c>
      <c r="FY71" s="197" t="str">
        <f t="shared" si="1055"/>
        <v>Oostenrijk</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Argentinië</v>
      </c>
      <c r="GK71" s="198">
        <f t="shared" si="1132"/>
        <v>24</v>
      </c>
      <c r="GL71" s="197" t="str">
        <f t="shared" si="1060"/>
        <v>Oostenrijk</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Argentinië</v>
      </c>
      <c r="GX71" s="198">
        <f t="shared" si="1133"/>
        <v>24</v>
      </c>
      <c r="GY71" s="197" t="str">
        <f t="shared" si="1065"/>
        <v>Oostenrijk</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Argentinië</v>
      </c>
      <c r="HK71" s="198">
        <f t="shared" si="1134"/>
        <v>24</v>
      </c>
      <c r="HL71" s="197" t="str">
        <f t="shared" si="1070"/>
        <v>Oostenrijk</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Argentinië</v>
      </c>
      <c r="HX71" s="198">
        <f t="shared" si="1135"/>
        <v>24</v>
      </c>
      <c r="HY71" s="197" t="str">
        <f t="shared" si="1075"/>
        <v>Oostenrijk</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Argentinië</v>
      </c>
      <c r="IK71" s="198">
        <f t="shared" si="1136"/>
        <v>24</v>
      </c>
      <c r="IL71" s="197" t="str">
        <f t="shared" si="1080"/>
        <v>Oostenrijk</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Argentinië</v>
      </c>
      <c r="IX71" s="198">
        <f t="shared" si="1137"/>
        <v>24</v>
      </c>
      <c r="IY71" s="197" t="str">
        <f t="shared" si="1085"/>
        <v>Oostenrijk</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Argentinië</v>
      </c>
      <c r="JK71" s="198">
        <f t="shared" si="1138"/>
        <v>24</v>
      </c>
      <c r="JL71" s="197" t="str">
        <f t="shared" si="1090"/>
        <v>Oostenrijk</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Argentinië</v>
      </c>
      <c r="JX71" s="198">
        <f t="shared" si="1139"/>
        <v>24</v>
      </c>
      <c r="JY71" s="197" t="str">
        <f t="shared" si="1095"/>
        <v>Oostenrijk</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Argentinië</v>
      </c>
      <c r="KK71" s="198">
        <f t="shared" si="1140"/>
        <v>24</v>
      </c>
      <c r="KL71" s="197" t="str">
        <f t="shared" si="1100"/>
        <v>Oostenrijk</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Argentinië</v>
      </c>
      <c r="KX71" s="198">
        <f t="shared" si="1141"/>
        <v>24</v>
      </c>
      <c r="KY71" s="197" t="str">
        <f t="shared" si="1105"/>
        <v>Oostenrijk</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Argentinië</v>
      </c>
      <c r="LK71" s="198">
        <f t="shared" si="1142"/>
        <v>24</v>
      </c>
      <c r="LL71" s="197" t="str">
        <f t="shared" si="1110"/>
        <v>Oostenrijk</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Argentinië</v>
      </c>
      <c r="LX71" s="198">
        <f t="shared" si="1143"/>
        <v>24</v>
      </c>
      <c r="LY71" s="197" t="str">
        <f t="shared" si="1115"/>
        <v>Oostenrijk</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c r="B72" s="196">
        <f>INDEX(Groups!$C$7:$C$65,MATCH(C72,Groups!$D$7:$D$65,0))</f>
        <v>63</v>
      </c>
      <c r="C72" s="197" t="str">
        <f>CalcJ!$P$25</f>
        <v>Jordanië</v>
      </c>
      <c r="D72" s="198">
        <f>INDEX(Groups!$C$7:$C$65,MATCH(E72,Groups!$D$7:$D$65,0))</f>
        <v>28</v>
      </c>
      <c r="E72" s="197" t="str">
        <f>CalcJ!$Q$25</f>
        <v>Algerije</v>
      </c>
      <c r="F72" s="199" t="str">
        <f>CalcJ!$R$25</f>
        <v/>
      </c>
      <c r="G72" s="200" t="str">
        <f>CalcJ!$S$25</f>
        <v/>
      </c>
      <c r="I72" s="196">
        <f t="shared" si="988"/>
        <v>63</v>
      </c>
      <c r="J72" s="197" t="str">
        <f t="shared" si="989"/>
        <v>Jordanië</v>
      </c>
      <c r="K72" s="198">
        <f t="shared" si="1118"/>
        <v>28</v>
      </c>
      <c r="L72" s="197" t="str">
        <f t="shared" si="990"/>
        <v>Algerije</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Jordanië</v>
      </c>
      <c r="X72" s="198">
        <f t="shared" si="1119"/>
        <v>28</v>
      </c>
      <c r="Y72" s="197" t="str">
        <f t="shared" si="995"/>
        <v>Algerije</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Jordanië</v>
      </c>
      <c r="AK72" s="198">
        <f t="shared" si="1120"/>
        <v>28</v>
      </c>
      <c r="AL72" s="197" t="str">
        <f t="shared" si="1000"/>
        <v>Algerije</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Jordanië</v>
      </c>
      <c r="AX72" s="198">
        <f t="shared" si="1121"/>
        <v>28</v>
      </c>
      <c r="AY72" s="197" t="str">
        <f t="shared" si="1005"/>
        <v>Algerije</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Jordanië</v>
      </c>
      <c r="BK72" s="198">
        <f t="shared" si="1122"/>
        <v>28</v>
      </c>
      <c r="BL72" s="197" t="str">
        <f t="shared" si="1010"/>
        <v>Algerije</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Jordanië</v>
      </c>
      <c r="BX72" s="198">
        <f t="shared" si="1123"/>
        <v>28</v>
      </c>
      <c r="BY72" s="197" t="str">
        <f t="shared" si="1015"/>
        <v>Algerije</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Jordanië</v>
      </c>
      <c r="CK72" s="198">
        <f t="shared" si="1124"/>
        <v>28</v>
      </c>
      <c r="CL72" s="197" t="str">
        <f t="shared" si="1020"/>
        <v>Algerije</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Jordanië</v>
      </c>
      <c r="CX72" s="198">
        <f t="shared" si="1125"/>
        <v>28</v>
      </c>
      <c r="CY72" s="197" t="str">
        <f t="shared" si="1025"/>
        <v>Algerije</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Jordanië</v>
      </c>
      <c r="DK72" s="198">
        <f t="shared" si="1126"/>
        <v>28</v>
      </c>
      <c r="DL72" s="197" t="str">
        <f t="shared" si="1030"/>
        <v>Algerije</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Jordanië</v>
      </c>
      <c r="DX72" s="198">
        <f t="shared" si="1127"/>
        <v>28</v>
      </c>
      <c r="DY72" s="197" t="str">
        <f t="shared" si="1035"/>
        <v>Algerije</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Jordanië</v>
      </c>
      <c r="EK72" s="198">
        <f t="shared" si="1128"/>
        <v>28</v>
      </c>
      <c r="EL72" s="197" t="str">
        <f t="shared" si="1040"/>
        <v>Algerije</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Jordanië</v>
      </c>
      <c r="EX72" s="198">
        <f t="shared" si="1129"/>
        <v>28</v>
      </c>
      <c r="EY72" s="197" t="str">
        <f t="shared" si="1045"/>
        <v>Algerije</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Jordanië</v>
      </c>
      <c r="FK72" s="198">
        <f t="shared" si="1130"/>
        <v>28</v>
      </c>
      <c r="FL72" s="197" t="str">
        <f t="shared" si="1050"/>
        <v>Algerije</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Jordanië</v>
      </c>
      <c r="FX72" s="198">
        <f t="shared" si="1131"/>
        <v>28</v>
      </c>
      <c r="FY72" s="197" t="str">
        <f t="shared" si="1055"/>
        <v>Algerije</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Jordanië</v>
      </c>
      <c r="GK72" s="198">
        <f t="shared" si="1132"/>
        <v>28</v>
      </c>
      <c r="GL72" s="197" t="str">
        <f t="shared" si="1060"/>
        <v>Algerije</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Jordanië</v>
      </c>
      <c r="GX72" s="198">
        <f t="shared" si="1133"/>
        <v>28</v>
      </c>
      <c r="GY72" s="197" t="str">
        <f t="shared" si="1065"/>
        <v>Algerije</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Jordanië</v>
      </c>
      <c r="HK72" s="198">
        <f t="shared" si="1134"/>
        <v>28</v>
      </c>
      <c r="HL72" s="197" t="str">
        <f t="shared" si="1070"/>
        <v>Algerije</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Jordanië</v>
      </c>
      <c r="HX72" s="198">
        <f t="shared" si="1135"/>
        <v>28</v>
      </c>
      <c r="HY72" s="197" t="str">
        <f t="shared" si="1075"/>
        <v>Algerije</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Jordanië</v>
      </c>
      <c r="IK72" s="198">
        <f t="shared" si="1136"/>
        <v>28</v>
      </c>
      <c r="IL72" s="197" t="str">
        <f t="shared" si="1080"/>
        <v>Algerije</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Jordanië</v>
      </c>
      <c r="IX72" s="198">
        <f t="shared" si="1137"/>
        <v>28</v>
      </c>
      <c r="IY72" s="197" t="str">
        <f t="shared" si="1085"/>
        <v>Algerije</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Jordanië</v>
      </c>
      <c r="JK72" s="198">
        <f t="shared" si="1138"/>
        <v>28</v>
      </c>
      <c r="JL72" s="197" t="str">
        <f t="shared" si="1090"/>
        <v>Algerije</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Jordanië</v>
      </c>
      <c r="JX72" s="198">
        <f t="shared" si="1139"/>
        <v>28</v>
      </c>
      <c r="JY72" s="197" t="str">
        <f t="shared" si="1095"/>
        <v>Algerije</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Jordanië</v>
      </c>
      <c r="KK72" s="198">
        <f t="shared" si="1140"/>
        <v>28</v>
      </c>
      <c r="KL72" s="197" t="str">
        <f t="shared" si="1100"/>
        <v>Algerije</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Jordanië</v>
      </c>
      <c r="KX72" s="198">
        <f t="shared" si="1141"/>
        <v>28</v>
      </c>
      <c r="KY72" s="197" t="str">
        <f t="shared" si="1105"/>
        <v>Algerije</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Jordanië</v>
      </c>
      <c r="LK72" s="198">
        <f t="shared" si="1142"/>
        <v>28</v>
      </c>
      <c r="LL72" s="197" t="str">
        <f t="shared" si="1110"/>
        <v>Algerije</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Jordanië</v>
      </c>
      <c r="LX72" s="198">
        <f t="shared" si="1143"/>
        <v>28</v>
      </c>
      <c r="LY72" s="197" t="str">
        <f t="shared" si="1115"/>
        <v>Algerije</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c r="B73" s="196">
        <f>INDEX(Groups!$C$7:$C$65,MATCH(C73,Groups!$D$7:$D$65,0))</f>
        <v>28</v>
      </c>
      <c r="C73" s="197" t="str">
        <f>CalcJ!$P$26</f>
        <v>Algerije</v>
      </c>
      <c r="D73" s="198">
        <f>INDEX(Groups!$C$7:$C$65,MATCH(E73,Groups!$D$7:$D$65,0))</f>
        <v>24</v>
      </c>
      <c r="E73" s="197" t="str">
        <f>CalcJ!$Q$26</f>
        <v>Oostenrijk</v>
      </c>
      <c r="F73" s="199" t="str">
        <f>CalcJ!$R$26</f>
        <v/>
      </c>
      <c r="G73" s="200" t="str">
        <f>CalcJ!$S$26</f>
        <v/>
      </c>
      <c r="I73" s="196">
        <f t="shared" si="988"/>
        <v>28</v>
      </c>
      <c r="J73" s="197" t="str">
        <f t="shared" si="989"/>
        <v>Algerije</v>
      </c>
      <c r="K73" s="198">
        <f t="shared" si="1118"/>
        <v>24</v>
      </c>
      <c r="L73" s="197" t="str">
        <f t="shared" si="990"/>
        <v>Oostenrijk</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Algerije</v>
      </c>
      <c r="X73" s="198">
        <f t="shared" si="1119"/>
        <v>24</v>
      </c>
      <c r="Y73" s="197" t="str">
        <f t="shared" si="995"/>
        <v>Oostenrijk</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Algerije</v>
      </c>
      <c r="AK73" s="198">
        <f t="shared" si="1120"/>
        <v>24</v>
      </c>
      <c r="AL73" s="197" t="str">
        <f t="shared" si="1000"/>
        <v>Oostenrijk</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Algerije</v>
      </c>
      <c r="AX73" s="198">
        <f t="shared" si="1121"/>
        <v>24</v>
      </c>
      <c r="AY73" s="197" t="str">
        <f t="shared" si="1005"/>
        <v>Oostenrijk</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Algerije</v>
      </c>
      <c r="BK73" s="198">
        <f t="shared" si="1122"/>
        <v>24</v>
      </c>
      <c r="BL73" s="197" t="str">
        <f t="shared" si="1010"/>
        <v>Oostenrijk</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Algerije</v>
      </c>
      <c r="BX73" s="198">
        <f t="shared" si="1123"/>
        <v>24</v>
      </c>
      <c r="BY73" s="197" t="str">
        <f t="shared" si="1015"/>
        <v>Oostenrijk</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Algerije</v>
      </c>
      <c r="CK73" s="198">
        <f t="shared" si="1124"/>
        <v>24</v>
      </c>
      <c r="CL73" s="197" t="str">
        <f t="shared" si="1020"/>
        <v>Oostenrijk</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Algerije</v>
      </c>
      <c r="CX73" s="198">
        <f t="shared" si="1125"/>
        <v>24</v>
      </c>
      <c r="CY73" s="197" t="str">
        <f t="shared" si="1025"/>
        <v>Oostenrijk</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Algerije</v>
      </c>
      <c r="DK73" s="198">
        <f t="shared" si="1126"/>
        <v>24</v>
      </c>
      <c r="DL73" s="197" t="str">
        <f t="shared" si="1030"/>
        <v>Oostenrijk</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Algerije</v>
      </c>
      <c r="DX73" s="198">
        <f t="shared" si="1127"/>
        <v>24</v>
      </c>
      <c r="DY73" s="197" t="str">
        <f t="shared" si="1035"/>
        <v>Oostenrijk</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Algerije</v>
      </c>
      <c r="EK73" s="198">
        <f t="shared" si="1128"/>
        <v>24</v>
      </c>
      <c r="EL73" s="197" t="str">
        <f t="shared" si="1040"/>
        <v>Oostenrijk</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Algerije</v>
      </c>
      <c r="EX73" s="198">
        <f t="shared" si="1129"/>
        <v>24</v>
      </c>
      <c r="EY73" s="197" t="str">
        <f t="shared" si="1045"/>
        <v>Oostenrijk</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Algerije</v>
      </c>
      <c r="FK73" s="198">
        <f t="shared" si="1130"/>
        <v>24</v>
      </c>
      <c r="FL73" s="197" t="str">
        <f t="shared" si="1050"/>
        <v>Oostenrijk</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Algerije</v>
      </c>
      <c r="FX73" s="198">
        <f t="shared" si="1131"/>
        <v>24</v>
      </c>
      <c r="FY73" s="197" t="str">
        <f t="shared" si="1055"/>
        <v>Oostenrijk</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Algerije</v>
      </c>
      <c r="GK73" s="198">
        <f t="shared" si="1132"/>
        <v>24</v>
      </c>
      <c r="GL73" s="197" t="str">
        <f t="shared" si="1060"/>
        <v>Oostenrijk</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Algerije</v>
      </c>
      <c r="GX73" s="198">
        <f t="shared" si="1133"/>
        <v>24</v>
      </c>
      <c r="GY73" s="197" t="str">
        <f t="shared" si="1065"/>
        <v>Oostenrijk</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Algerije</v>
      </c>
      <c r="HK73" s="198">
        <f t="shared" si="1134"/>
        <v>24</v>
      </c>
      <c r="HL73" s="197" t="str">
        <f t="shared" si="1070"/>
        <v>Oostenrijk</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Algerije</v>
      </c>
      <c r="HX73" s="198">
        <f t="shared" si="1135"/>
        <v>24</v>
      </c>
      <c r="HY73" s="197" t="str">
        <f t="shared" si="1075"/>
        <v>Oostenrijk</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Algerije</v>
      </c>
      <c r="IK73" s="198">
        <f t="shared" si="1136"/>
        <v>24</v>
      </c>
      <c r="IL73" s="197" t="str">
        <f t="shared" si="1080"/>
        <v>Oostenrijk</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Algerije</v>
      </c>
      <c r="IX73" s="198">
        <f t="shared" si="1137"/>
        <v>24</v>
      </c>
      <c r="IY73" s="197" t="str">
        <f t="shared" si="1085"/>
        <v>Oostenrijk</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Algerije</v>
      </c>
      <c r="JK73" s="198">
        <f t="shared" si="1138"/>
        <v>24</v>
      </c>
      <c r="JL73" s="197" t="str">
        <f t="shared" si="1090"/>
        <v>Oostenrijk</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Algerije</v>
      </c>
      <c r="JX73" s="198">
        <f t="shared" si="1139"/>
        <v>24</v>
      </c>
      <c r="JY73" s="197" t="str">
        <f t="shared" si="1095"/>
        <v>Oostenrijk</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Algerije</v>
      </c>
      <c r="KK73" s="198">
        <f t="shared" si="1140"/>
        <v>24</v>
      </c>
      <c r="KL73" s="197" t="str">
        <f t="shared" si="1100"/>
        <v>Oostenrijk</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Algerije</v>
      </c>
      <c r="KX73" s="198">
        <f t="shared" si="1141"/>
        <v>24</v>
      </c>
      <c r="KY73" s="197" t="str">
        <f t="shared" si="1105"/>
        <v>Oostenrijk</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Algerije</v>
      </c>
      <c r="LK73" s="198">
        <f t="shared" si="1142"/>
        <v>24</v>
      </c>
      <c r="LL73" s="197" t="str">
        <f t="shared" si="1110"/>
        <v>Oostenrijk</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Algerije</v>
      </c>
      <c r="LX73" s="198">
        <f t="shared" si="1143"/>
        <v>24</v>
      </c>
      <c r="LY73" s="197" t="str">
        <f t="shared" si="1115"/>
        <v>Oostenrijk</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c r="B74" s="196">
        <f>INDEX(Groups!$C$7:$C$65,MATCH(C74,Groups!$D$7:$D$65,0))</f>
        <v>63</v>
      </c>
      <c r="C74" s="197" t="str">
        <f>CalcJ!$P$27</f>
        <v>Jordanië</v>
      </c>
      <c r="D74" s="198">
        <f>INDEX(Groups!$C$7:$C$65,MATCH(E74,Groups!$D$7:$D$65,0))</f>
        <v>3</v>
      </c>
      <c r="E74" s="197" t="str">
        <f>CalcJ!$Q$27</f>
        <v>Argentinië</v>
      </c>
      <c r="F74" s="199" t="str">
        <f>CalcJ!$R$27</f>
        <v/>
      </c>
      <c r="G74" s="200" t="str">
        <f>CalcJ!$S$27</f>
        <v/>
      </c>
      <c r="I74" s="196">
        <f t="shared" si="988"/>
        <v>63</v>
      </c>
      <c r="J74" s="197" t="str">
        <f t="shared" si="989"/>
        <v>Jordanië</v>
      </c>
      <c r="K74" s="198">
        <f t="shared" si="1118"/>
        <v>3</v>
      </c>
      <c r="L74" s="197" t="str">
        <f t="shared" si="990"/>
        <v>Argentinië</v>
      </c>
      <c r="M74" s="232"/>
      <c r="N74" s="232"/>
      <c r="O74" s="473"/>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4"/>
      <c r="V74" s="196">
        <f t="shared" si="993"/>
        <v>63</v>
      </c>
      <c r="W74" s="197" t="str">
        <f t="shared" si="994"/>
        <v>Jordanië</v>
      </c>
      <c r="X74" s="198">
        <f t="shared" si="1119"/>
        <v>3</v>
      </c>
      <c r="Y74" s="197" t="str">
        <f t="shared" si="995"/>
        <v>Argentinië</v>
      </c>
      <c r="Z74" s="232"/>
      <c r="AA74" s="232"/>
      <c r="AB74" s="473"/>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4"/>
      <c r="AI74" s="196">
        <f t="shared" si="998"/>
        <v>63</v>
      </c>
      <c r="AJ74" s="197" t="str">
        <f t="shared" si="999"/>
        <v>Jordanië</v>
      </c>
      <c r="AK74" s="198">
        <f t="shared" si="1120"/>
        <v>3</v>
      </c>
      <c r="AL74" s="197" t="str">
        <f t="shared" si="1000"/>
        <v>Argentinië</v>
      </c>
      <c r="AM74" s="232"/>
      <c r="AN74" s="232"/>
      <c r="AO74" s="473"/>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4"/>
      <c r="AV74" s="196">
        <f t="shared" si="1003"/>
        <v>63</v>
      </c>
      <c r="AW74" s="197" t="str">
        <f t="shared" si="1004"/>
        <v>Jordanië</v>
      </c>
      <c r="AX74" s="198">
        <f t="shared" si="1121"/>
        <v>3</v>
      </c>
      <c r="AY74" s="197" t="str">
        <f t="shared" si="1005"/>
        <v>Argentinië</v>
      </c>
      <c r="AZ74" s="232"/>
      <c r="BA74" s="232"/>
      <c r="BB74" s="473"/>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4"/>
      <c r="BI74" s="196">
        <f t="shared" si="1008"/>
        <v>63</v>
      </c>
      <c r="BJ74" s="197" t="str">
        <f t="shared" si="1009"/>
        <v>Jordanië</v>
      </c>
      <c r="BK74" s="198">
        <f t="shared" si="1122"/>
        <v>3</v>
      </c>
      <c r="BL74" s="197" t="str">
        <f t="shared" si="1010"/>
        <v>Argentinië</v>
      </c>
      <c r="BM74" s="232"/>
      <c r="BN74" s="232"/>
      <c r="BO74" s="473"/>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4"/>
      <c r="BV74" s="196">
        <f t="shared" si="1013"/>
        <v>63</v>
      </c>
      <c r="BW74" s="197" t="str">
        <f t="shared" si="1014"/>
        <v>Jordanië</v>
      </c>
      <c r="BX74" s="198">
        <f t="shared" si="1123"/>
        <v>3</v>
      </c>
      <c r="BY74" s="197" t="str">
        <f t="shared" si="1015"/>
        <v>Argentinië</v>
      </c>
      <c r="BZ74" s="232"/>
      <c r="CA74" s="232"/>
      <c r="CB74" s="473"/>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4"/>
      <c r="CI74" s="196">
        <f t="shared" si="1018"/>
        <v>63</v>
      </c>
      <c r="CJ74" s="197" t="str">
        <f t="shared" si="1019"/>
        <v>Jordanië</v>
      </c>
      <c r="CK74" s="198">
        <f t="shared" si="1124"/>
        <v>3</v>
      </c>
      <c r="CL74" s="197" t="str">
        <f t="shared" si="1020"/>
        <v>Argentinië</v>
      </c>
      <c r="CM74" s="232"/>
      <c r="CN74" s="232"/>
      <c r="CO74" s="473"/>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4"/>
      <c r="CV74" s="196">
        <f t="shared" si="1023"/>
        <v>63</v>
      </c>
      <c r="CW74" s="197" t="str">
        <f t="shared" si="1024"/>
        <v>Jordanië</v>
      </c>
      <c r="CX74" s="198">
        <f t="shared" si="1125"/>
        <v>3</v>
      </c>
      <c r="CY74" s="197" t="str">
        <f t="shared" si="1025"/>
        <v>Argentinië</v>
      </c>
      <c r="CZ74" s="232"/>
      <c r="DA74" s="232"/>
      <c r="DB74" s="473"/>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4"/>
      <c r="DI74" s="196">
        <f t="shared" si="1028"/>
        <v>63</v>
      </c>
      <c r="DJ74" s="197" t="str">
        <f t="shared" si="1029"/>
        <v>Jordanië</v>
      </c>
      <c r="DK74" s="198">
        <f t="shared" si="1126"/>
        <v>3</v>
      </c>
      <c r="DL74" s="197" t="str">
        <f t="shared" si="1030"/>
        <v>Argentinië</v>
      </c>
      <c r="DM74" s="232"/>
      <c r="DN74" s="232"/>
      <c r="DO74" s="473"/>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4"/>
      <c r="DV74" s="196">
        <f t="shared" si="1033"/>
        <v>63</v>
      </c>
      <c r="DW74" s="197" t="str">
        <f t="shared" si="1034"/>
        <v>Jordanië</v>
      </c>
      <c r="DX74" s="198">
        <f t="shared" si="1127"/>
        <v>3</v>
      </c>
      <c r="DY74" s="197" t="str">
        <f t="shared" si="1035"/>
        <v>Argentinië</v>
      </c>
      <c r="DZ74" s="232"/>
      <c r="EA74" s="232"/>
      <c r="EB74" s="473"/>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4"/>
      <c r="EI74" s="196">
        <f t="shared" si="1038"/>
        <v>63</v>
      </c>
      <c r="EJ74" s="197" t="str">
        <f t="shared" si="1039"/>
        <v>Jordanië</v>
      </c>
      <c r="EK74" s="198">
        <f t="shared" si="1128"/>
        <v>3</v>
      </c>
      <c r="EL74" s="197" t="str">
        <f t="shared" si="1040"/>
        <v>Argentinië</v>
      </c>
      <c r="EM74" s="232"/>
      <c r="EN74" s="232"/>
      <c r="EO74" s="473"/>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4"/>
      <c r="EV74" s="196">
        <f t="shared" si="1043"/>
        <v>63</v>
      </c>
      <c r="EW74" s="197" t="str">
        <f t="shared" si="1044"/>
        <v>Jordanië</v>
      </c>
      <c r="EX74" s="198">
        <f t="shared" si="1129"/>
        <v>3</v>
      </c>
      <c r="EY74" s="197" t="str">
        <f t="shared" si="1045"/>
        <v>Argentinië</v>
      </c>
      <c r="EZ74" s="232"/>
      <c r="FA74" s="232"/>
      <c r="FB74" s="473"/>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4"/>
      <c r="FI74" s="196">
        <f t="shared" si="1048"/>
        <v>63</v>
      </c>
      <c r="FJ74" s="197" t="str">
        <f t="shared" si="1049"/>
        <v>Jordanië</v>
      </c>
      <c r="FK74" s="198">
        <f t="shared" si="1130"/>
        <v>3</v>
      </c>
      <c r="FL74" s="197" t="str">
        <f t="shared" si="1050"/>
        <v>Argentinië</v>
      </c>
      <c r="FM74" s="232"/>
      <c r="FN74" s="232"/>
      <c r="FO74" s="473"/>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4"/>
      <c r="FV74" s="196">
        <f t="shared" si="1053"/>
        <v>63</v>
      </c>
      <c r="FW74" s="197" t="str">
        <f t="shared" si="1054"/>
        <v>Jordanië</v>
      </c>
      <c r="FX74" s="198">
        <f t="shared" si="1131"/>
        <v>3</v>
      </c>
      <c r="FY74" s="197" t="str">
        <f t="shared" si="1055"/>
        <v>Argentinië</v>
      </c>
      <c r="FZ74" s="232"/>
      <c r="GA74" s="232"/>
      <c r="GB74" s="473"/>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4"/>
      <c r="GI74" s="196">
        <f t="shared" si="1058"/>
        <v>63</v>
      </c>
      <c r="GJ74" s="197" t="str">
        <f t="shared" si="1059"/>
        <v>Jordanië</v>
      </c>
      <c r="GK74" s="198">
        <f t="shared" si="1132"/>
        <v>3</v>
      </c>
      <c r="GL74" s="197" t="str">
        <f t="shared" si="1060"/>
        <v>Argentinië</v>
      </c>
      <c r="GM74" s="232"/>
      <c r="GN74" s="232"/>
      <c r="GO74" s="473"/>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4"/>
      <c r="GV74" s="196">
        <f t="shared" si="1063"/>
        <v>63</v>
      </c>
      <c r="GW74" s="197" t="str">
        <f t="shared" si="1064"/>
        <v>Jordanië</v>
      </c>
      <c r="GX74" s="198">
        <f t="shared" si="1133"/>
        <v>3</v>
      </c>
      <c r="GY74" s="197" t="str">
        <f t="shared" si="1065"/>
        <v>Argentinië</v>
      </c>
      <c r="GZ74" s="232"/>
      <c r="HA74" s="232"/>
      <c r="HB74" s="473"/>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4"/>
      <c r="HI74" s="196">
        <f t="shared" si="1068"/>
        <v>63</v>
      </c>
      <c r="HJ74" s="197" t="str">
        <f t="shared" si="1069"/>
        <v>Jordanië</v>
      </c>
      <c r="HK74" s="198">
        <f t="shared" si="1134"/>
        <v>3</v>
      </c>
      <c r="HL74" s="197" t="str">
        <f t="shared" si="1070"/>
        <v>Argentinië</v>
      </c>
      <c r="HM74" s="232"/>
      <c r="HN74" s="232"/>
      <c r="HO74" s="473"/>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4"/>
      <c r="HV74" s="196">
        <f t="shared" si="1073"/>
        <v>63</v>
      </c>
      <c r="HW74" s="197" t="str">
        <f t="shared" si="1074"/>
        <v>Jordanië</v>
      </c>
      <c r="HX74" s="198">
        <f t="shared" si="1135"/>
        <v>3</v>
      </c>
      <c r="HY74" s="197" t="str">
        <f t="shared" si="1075"/>
        <v>Argentinië</v>
      </c>
      <c r="HZ74" s="232"/>
      <c r="IA74" s="232"/>
      <c r="IB74" s="473"/>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4"/>
      <c r="II74" s="196">
        <f t="shared" si="1078"/>
        <v>63</v>
      </c>
      <c r="IJ74" s="197" t="str">
        <f t="shared" si="1079"/>
        <v>Jordanië</v>
      </c>
      <c r="IK74" s="198">
        <f t="shared" si="1136"/>
        <v>3</v>
      </c>
      <c r="IL74" s="197" t="str">
        <f t="shared" si="1080"/>
        <v>Argentinië</v>
      </c>
      <c r="IM74" s="232"/>
      <c r="IN74" s="232"/>
      <c r="IO74" s="473"/>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4"/>
      <c r="IV74" s="196">
        <f t="shared" si="1083"/>
        <v>63</v>
      </c>
      <c r="IW74" s="197" t="str">
        <f t="shared" si="1084"/>
        <v>Jordanië</v>
      </c>
      <c r="IX74" s="198">
        <f t="shared" si="1137"/>
        <v>3</v>
      </c>
      <c r="IY74" s="197" t="str">
        <f t="shared" si="1085"/>
        <v>Argentinië</v>
      </c>
      <c r="IZ74" s="232"/>
      <c r="JA74" s="232"/>
      <c r="JB74" s="473"/>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4"/>
      <c r="JI74" s="196">
        <f t="shared" si="1088"/>
        <v>63</v>
      </c>
      <c r="JJ74" s="197" t="str">
        <f t="shared" si="1089"/>
        <v>Jordanië</v>
      </c>
      <c r="JK74" s="198">
        <f t="shared" si="1138"/>
        <v>3</v>
      </c>
      <c r="JL74" s="197" t="str">
        <f t="shared" si="1090"/>
        <v>Argentinië</v>
      </c>
      <c r="JM74" s="232"/>
      <c r="JN74" s="232"/>
      <c r="JO74" s="473"/>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4"/>
      <c r="JV74" s="196">
        <f t="shared" si="1093"/>
        <v>63</v>
      </c>
      <c r="JW74" s="197" t="str">
        <f t="shared" si="1094"/>
        <v>Jordanië</v>
      </c>
      <c r="JX74" s="198">
        <f t="shared" si="1139"/>
        <v>3</v>
      </c>
      <c r="JY74" s="197" t="str">
        <f t="shared" si="1095"/>
        <v>Argentinië</v>
      </c>
      <c r="JZ74" s="232"/>
      <c r="KA74" s="232"/>
      <c r="KB74" s="473"/>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4"/>
      <c r="KI74" s="196">
        <f t="shared" si="1098"/>
        <v>63</v>
      </c>
      <c r="KJ74" s="197" t="str">
        <f t="shared" si="1099"/>
        <v>Jordanië</v>
      </c>
      <c r="KK74" s="198">
        <f t="shared" si="1140"/>
        <v>3</v>
      </c>
      <c r="KL74" s="197" t="str">
        <f t="shared" si="1100"/>
        <v>Argentinië</v>
      </c>
      <c r="KM74" s="232"/>
      <c r="KN74" s="232"/>
      <c r="KO74" s="473"/>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4"/>
      <c r="KV74" s="196">
        <f t="shared" si="1103"/>
        <v>63</v>
      </c>
      <c r="KW74" s="197" t="str">
        <f t="shared" si="1104"/>
        <v>Jordanië</v>
      </c>
      <c r="KX74" s="198">
        <f t="shared" si="1141"/>
        <v>3</v>
      </c>
      <c r="KY74" s="197" t="str">
        <f t="shared" si="1105"/>
        <v>Argentinië</v>
      </c>
      <c r="KZ74" s="232"/>
      <c r="LA74" s="232"/>
      <c r="LB74" s="473"/>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4"/>
      <c r="LI74" s="196">
        <f t="shared" si="1108"/>
        <v>63</v>
      </c>
      <c r="LJ74" s="197" t="str">
        <f t="shared" si="1109"/>
        <v>Jordanië</v>
      </c>
      <c r="LK74" s="198">
        <f t="shared" si="1142"/>
        <v>3</v>
      </c>
      <c r="LL74" s="197" t="str">
        <f t="shared" si="1110"/>
        <v>Argentinië</v>
      </c>
      <c r="LM74" s="232"/>
      <c r="LN74" s="232"/>
      <c r="LO74" s="473"/>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4"/>
      <c r="LV74" s="196">
        <f t="shared" si="1113"/>
        <v>63</v>
      </c>
      <c r="LW74" s="197" t="str">
        <f t="shared" si="1114"/>
        <v>Jordanië</v>
      </c>
      <c r="LX74" s="198">
        <f t="shared" si="1143"/>
        <v>3</v>
      </c>
      <c r="LY74" s="197" t="str">
        <f t="shared" si="1115"/>
        <v>Argentinië</v>
      </c>
      <c r="LZ74" s="232"/>
      <c r="MA74" s="232"/>
      <c r="MB74" s="473"/>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4"/>
    </row>
    <row r="75" spans="2:345" ht="24" customHeight="1">
      <c r="B75" s="205" t="str">
        <f>Language!$E$130&amp;" K"</f>
        <v>Groep K</v>
      </c>
      <c r="C75" s="206"/>
      <c r="D75" s="211"/>
      <c r="E75" s="208"/>
      <c r="F75" s="212"/>
      <c r="G75" s="213"/>
      <c r="I75" s="205" t="str">
        <f t="shared" si="988"/>
        <v>Groep K</v>
      </c>
      <c r="J75" s="211"/>
      <c r="K75" s="211"/>
      <c r="L75" s="208"/>
      <c r="M75" s="236"/>
      <c r="N75" s="237"/>
      <c r="O75" s="209"/>
      <c r="P75" s="220"/>
      <c r="Q75" s="220"/>
      <c r="R75" s="208"/>
      <c r="S75" s="208"/>
      <c r="T75" s="221"/>
      <c r="V75" s="205" t="str">
        <f t="shared" si="993"/>
        <v>Groep K</v>
      </c>
      <c r="W75" s="211"/>
      <c r="X75" s="211"/>
      <c r="Y75" s="208"/>
      <c r="Z75" s="236"/>
      <c r="AA75" s="237"/>
      <c r="AB75" s="209"/>
      <c r="AC75" s="220"/>
      <c r="AD75" s="220"/>
      <c r="AE75" s="208"/>
      <c r="AF75" s="208"/>
      <c r="AG75" s="221"/>
      <c r="AI75" s="205" t="str">
        <f t="shared" si="998"/>
        <v>Groep K</v>
      </c>
      <c r="AJ75" s="211"/>
      <c r="AK75" s="211"/>
      <c r="AL75" s="208"/>
      <c r="AM75" s="236"/>
      <c r="AN75" s="237"/>
      <c r="AO75" s="209"/>
      <c r="AP75" s="220"/>
      <c r="AQ75" s="220"/>
      <c r="AR75" s="208"/>
      <c r="AS75" s="208"/>
      <c r="AT75" s="221"/>
      <c r="AV75" s="205" t="str">
        <f t="shared" si="1003"/>
        <v>Groep K</v>
      </c>
      <c r="AW75" s="211"/>
      <c r="AX75" s="211"/>
      <c r="AY75" s="208"/>
      <c r="AZ75" s="236"/>
      <c r="BA75" s="237"/>
      <c r="BB75" s="209"/>
      <c r="BC75" s="220"/>
      <c r="BD75" s="220"/>
      <c r="BE75" s="208"/>
      <c r="BF75" s="208"/>
      <c r="BG75" s="221"/>
      <c r="BI75" s="205" t="str">
        <f t="shared" si="1008"/>
        <v>Groep K</v>
      </c>
      <c r="BJ75" s="211"/>
      <c r="BK75" s="211"/>
      <c r="BL75" s="208"/>
      <c r="BM75" s="236"/>
      <c r="BN75" s="237"/>
      <c r="BO75" s="209"/>
      <c r="BP75" s="220"/>
      <c r="BQ75" s="220"/>
      <c r="BR75" s="208"/>
      <c r="BS75" s="208"/>
      <c r="BT75" s="221"/>
      <c r="BV75" s="205" t="str">
        <f t="shared" si="1013"/>
        <v>Groep K</v>
      </c>
      <c r="BW75" s="211"/>
      <c r="BX75" s="211"/>
      <c r="BY75" s="208"/>
      <c r="BZ75" s="236"/>
      <c r="CA75" s="237"/>
      <c r="CB75" s="209"/>
      <c r="CC75" s="220"/>
      <c r="CD75" s="220"/>
      <c r="CE75" s="208"/>
      <c r="CF75" s="208"/>
      <c r="CG75" s="221"/>
      <c r="CI75" s="205" t="str">
        <f t="shared" si="1018"/>
        <v>Groep K</v>
      </c>
      <c r="CJ75" s="211"/>
      <c r="CK75" s="211"/>
      <c r="CL75" s="208"/>
      <c r="CM75" s="236"/>
      <c r="CN75" s="237"/>
      <c r="CO75" s="209"/>
      <c r="CP75" s="220"/>
      <c r="CQ75" s="220"/>
      <c r="CR75" s="208"/>
      <c r="CS75" s="208"/>
      <c r="CT75" s="221"/>
      <c r="CV75" s="205" t="str">
        <f t="shared" si="1023"/>
        <v>Groep K</v>
      </c>
      <c r="CW75" s="211"/>
      <c r="CX75" s="211"/>
      <c r="CY75" s="208"/>
      <c r="CZ75" s="236"/>
      <c r="DA75" s="237"/>
      <c r="DB75" s="209"/>
      <c r="DC75" s="220"/>
      <c r="DD75" s="220"/>
      <c r="DE75" s="208"/>
      <c r="DF75" s="208"/>
      <c r="DG75" s="221"/>
      <c r="DI75" s="205" t="str">
        <f t="shared" si="1028"/>
        <v>Groep K</v>
      </c>
      <c r="DJ75" s="211"/>
      <c r="DK75" s="211"/>
      <c r="DL75" s="208"/>
      <c r="DM75" s="236"/>
      <c r="DN75" s="237"/>
      <c r="DO75" s="209"/>
      <c r="DP75" s="220"/>
      <c r="DQ75" s="220"/>
      <c r="DR75" s="208"/>
      <c r="DS75" s="208"/>
      <c r="DT75" s="221"/>
      <c r="DV75" s="205" t="str">
        <f t="shared" si="1033"/>
        <v>Groep K</v>
      </c>
      <c r="DW75" s="211"/>
      <c r="DX75" s="211"/>
      <c r="DY75" s="208"/>
      <c r="DZ75" s="236"/>
      <c r="EA75" s="237"/>
      <c r="EB75" s="209"/>
      <c r="EC75" s="220"/>
      <c r="ED75" s="220"/>
      <c r="EE75" s="208"/>
      <c r="EF75" s="208"/>
      <c r="EG75" s="221"/>
      <c r="EI75" s="205" t="str">
        <f t="shared" si="1038"/>
        <v>Groep K</v>
      </c>
      <c r="EJ75" s="211"/>
      <c r="EK75" s="211"/>
      <c r="EL75" s="208"/>
      <c r="EM75" s="236"/>
      <c r="EN75" s="237"/>
      <c r="EO75" s="209"/>
      <c r="EP75" s="220"/>
      <c r="EQ75" s="220"/>
      <c r="ER75" s="208"/>
      <c r="ES75" s="208"/>
      <c r="ET75" s="221"/>
      <c r="EV75" s="205" t="str">
        <f t="shared" si="1043"/>
        <v>Groep K</v>
      </c>
      <c r="EW75" s="211"/>
      <c r="EX75" s="211"/>
      <c r="EY75" s="208"/>
      <c r="EZ75" s="236"/>
      <c r="FA75" s="237"/>
      <c r="FB75" s="209"/>
      <c r="FC75" s="220"/>
      <c r="FD75" s="220"/>
      <c r="FE75" s="208"/>
      <c r="FF75" s="208"/>
      <c r="FG75" s="221"/>
      <c r="FI75" s="205" t="str">
        <f t="shared" si="1048"/>
        <v>Groep K</v>
      </c>
      <c r="FJ75" s="211"/>
      <c r="FK75" s="211"/>
      <c r="FL75" s="208"/>
      <c r="FM75" s="236"/>
      <c r="FN75" s="237"/>
      <c r="FO75" s="209"/>
      <c r="FP75" s="220"/>
      <c r="FQ75" s="220"/>
      <c r="FR75" s="208"/>
      <c r="FS75" s="208"/>
      <c r="FT75" s="221"/>
      <c r="FV75" s="205" t="str">
        <f t="shared" si="1053"/>
        <v>Groep K</v>
      </c>
      <c r="FW75" s="211"/>
      <c r="FX75" s="211"/>
      <c r="FY75" s="208"/>
      <c r="FZ75" s="236"/>
      <c r="GA75" s="237"/>
      <c r="GB75" s="209"/>
      <c r="GC75" s="220"/>
      <c r="GD75" s="220"/>
      <c r="GE75" s="208"/>
      <c r="GF75" s="208"/>
      <c r="GG75" s="221"/>
      <c r="GI75" s="205" t="str">
        <f t="shared" si="1058"/>
        <v>Groep K</v>
      </c>
      <c r="GJ75" s="211"/>
      <c r="GK75" s="211"/>
      <c r="GL75" s="208"/>
      <c r="GM75" s="236"/>
      <c r="GN75" s="237"/>
      <c r="GO75" s="209"/>
      <c r="GP75" s="220"/>
      <c r="GQ75" s="220"/>
      <c r="GR75" s="208"/>
      <c r="GS75" s="208"/>
      <c r="GT75" s="221"/>
      <c r="GV75" s="205" t="str">
        <f t="shared" si="1063"/>
        <v>Groep K</v>
      </c>
      <c r="GW75" s="211"/>
      <c r="GX75" s="211"/>
      <c r="GY75" s="208"/>
      <c r="GZ75" s="236"/>
      <c r="HA75" s="237"/>
      <c r="HB75" s="209"/>
      <c r="HC75" s="220"/>
      <c r="HD75" s="220"/>
      <c r="HE75" s="208"/>
      <c r="HF75" s="208"/>
      <c r="HG75" s="221"/>
      <c r="HI75" s="205" t="str">
        <f t="shared" si="1068"/>
        <v>Groep K</v>
      </c>
      <c r="HJ75" s="211"/>
      <c r="HK75" s="211"/>
      <c r="HL75" s="208"/>
      <c r="HM75" s="236"/>
      <c r="HN75" s="237"/>
      <c r="HO75" s="209"/>
      <c r="HP75" s="220"/>
      <c r="HQ75" s="220"/>
      <c r="HR75" s="208"/>
      <c r="HS75" s="208"/>
      <c r="HT75" s="221"/>
      <c r="HV75" s="205" t="str">
        <f t="shared" si="1073"/>
        <v>Groep K</v>
      </c>
      <c r="HW75" s="211"/>
      <c r="HX75" s="211"/>
      <c r="HY75" s="208"/>
      <c r="HZ75" s="236"/>
      <c r="IA75" s="237"/>
      <c r="IB75" s="209"/>
      <c r="IC75" s="220"/>
      <c r="ID75" s="220"/>
      <c r="IE75" s="208"/>
      <c r="IF75" s="208"/>
      <c r="IG75" s="221"/>
      <c r="II75" s="205" t="str">
        <f t="shared" si="1078"/>
        <v>Groep K</v>
      </c>
      <c r="IJ75" s="211"/>
      <c r="IK75" s="211"/>
      <c r="IL75" s="208"/>
      <c r="IM75" s="236"/>
      <c r="IN75" s="237"/>
      <c r="IO75" s="209"/>
      <c r="IP75" s="220"/>
      <c r="IQ75" s="220"/>
      <c r="IR75" s="208"/>
      <c r="IS75" s="208"/>
      <c r="IT75" s="221"/>
      <c r="IV75" s="205" t="str">
        <f t="shared" si="1083"/>
        <v>Groep K</v>
      </c>
      <c r="IW75" s="211"/>
      <c r="IX75" s="211"/>
      <c r="IY75" s="208"/>
      <c r="IZ75" s="236"/>
      <c r="JA75" s="237"/>
      <c r="JB75" s="209"/>
      <c r="JC75" s="220"/>
      <c r="JD75" s="220"/>
      <c r="JE75" s="208"/>
      <c r="JF75" s="208"/>
      <c r="JG75" s="221"/>
      <c r="JI75" s="205" t="str">
        <f t="shared" si="1088"/>
        <v>Groep K</v>
      </c>
      <c r="JJ75" s="211"/>
      <c r="JK75" s="211"/>
      <c r="JL75" s="208"/>
      <c r="JM75" s="236"/>
      <c r="JN75" s="237"/>
      <c r="JO75" s="209"/>
      <c r="JP75" s="220"/>
      <c r="JQ75" s="220"/>
      <c r="JR75" s="208"/>
      <c r="JS75" s="208"/>
      <c r="JT75" s="221"/>
      <c r="JV75" s="205" t="str">
        <f t="shared" si="1093"/>
        <v>Groep K</v>
      </c>
      <c r="JW75" s="211"/>
      <c r="JX75" s="211"/>
      <c r="JY75" s="208"/>
      <c r="JZ75" s="236"/>
      <c r="KA75" s="237"/>
      <c r="KB75" s="209"/>
      <c r="KC75" s="220"/>
      <c r="KD75" s="220"/>
      <c r="KE75" s="208"/>
      <c r="KF75" s="208"/>
      <c r="KG75" s="221"/>
      <c r="KI75" s="205" t="str">
        <f t="shared" si="1098"/>
        <v>Groep K</v>
      </c>
      <c r="KJ75" s="211"/>
      <c r="KK75" s="211"/>
      <c r="KL75" s="208"/>
      <c r="KM75" s="236"/>
      <c r="KN75" s="237"/>
      <c r="KO75" s="209"/>
      <c r="KP75" s="220"/>
      <c r="KQ75" s="220"/>
      <c r="KR75" s="208"/>
      <c r="KS75" s="208"/>
      <c r="KT75" s="221"/>
      <c r="KV75" s="205" t="str">
        <f t="shared" si="1103"/>
        <v>Groep K</v>
      </c>
      <c r="KW75" s="211"/>
      <c r="KX75" s="211"/>
      <c r="KY75" s="208"/>
      <c r="KZ75" s="236"/>
      <c r="LA75" s="237"/>
      <c r="LB75" s="209"/>
      <c r="LC75" s="220"/>
      <c r="LD75" s="220"/>
      <c r="LE75" s="208"/>
      <c r="LF75" s="208"/>
      <c r="LG75" s="221"/>
      <c r="LI75" s="205" t="str">
        <f t="shared" si="1108"/>
        <v>Groep K</v>
      </c>
      <c r="LJ75" s="211"/>
      <c r="LK75" s="211"/>
      <c r="LL75" s="208"/>
      <c r="LM75" s="236"/>
      <c r="LN75" s="237"/>
      <c r="LO75" s="209"/>
      <c r="LP75" s="220"/>
      <c r="LQ75" s="220"/>
      <c r="LR75" s="208"/>
      <c r="LS75" s="208"/>
      <c r="LT75" s="221"/>
      <c r="LV75" s="205" t="str">
        <f t="shared" si="1113"/>
        <v>Groep K</v>
      </c>
      <c r="LW75" s="211"/>
      <c r="LX75" s="211"/>
      <c r="LY75" s="208"/>
      <c r="LZ75" s="236"/>
      <c r="MA75" s="237"/>
      <c r="MB75" s="209"/>
      <c r="MC75" s="220"/>
      <c r="MD75" s="220"/>
      <c r="ME75" s="208"/>
      <c r="MF75" s="208"/>
      <c r="MG75" s="221"/>
    </row>
    <row r="76" spans="2:345">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98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c r="B77" s="196">
        <f>INDEX(Groups!$C$7:$C$65,MATCH(C77,Groups!$D$7:$D$65,0))</f>
        <v>50</v>
      </c>
      <c r="C77" s="197" t="str">
        <f>CalcK!$P$23</f>
        <v>Oezbekistan</v>
      </c>
      <c r="D77" s="198">
        <f>INDEX(Groups!$C$7:$C$65,MATCH(E77,Groups!$D$7:$D$65,0))</f>
        <v>13</v>
      </c>
      <c r="E77" s="197" t="str">
        <f>CalcK!$Q$23</f>
        <v>Colombia</v>
      </c>
      <c r="F77" s="725" t="str">
        <f>CalcK!$R$23</f>
        <v/>
      </c>
      <c r="G77" s="200" t="str">
        <f>CalcK!$S$23</f>
        <v/>
      </c>
      <c r="I77" s="196">
        <f t="shared" si="988"/>
        <v>50</v>
      </c>
      <c r="J77" s="197" t="str">
        <f t="shared" si="1144"/>
        <v>Oezbekistan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Oezbekistan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Oezbekistan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Oezbekistan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Oezbekistan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Oezbekistan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Oezbekistan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Oezbekistan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Oezbekistan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Oezbekistan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Oezbekistan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Oezbekistan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Oezbekistan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Oezbekistan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Oezbekistan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Oezbekistan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Oezbekistan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Oezbekistan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Oezbekistan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Oezbekistan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Oezbekistan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Oezbekistan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Oezbekistan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Oezbekistan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Oezbekistan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Oezbekistan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c r="B78" s="196">
        <f>INDEX(Groups!$C$7:$C$65,MATCH(C78,Groups!$D$7:$D$65,0))</f>
        <v>5</v>
      </c>
      <c r="C78" s="197" t="str">
        <f>CalcK!$P$24</f>
        <v>Portugal</v>
      </c>
      <c r="D78" s="198">
        <f>INDEX(Groups!$C$7:$C$65,MATCH(E78,Groups!$D$7:$D$65,0))</f>
        <v>50</v>
      </c>
      <c r="E78" s="197" t="str">
        <f>CalcK!$Q$24</f>
        <v>Oezbekistan</v>
      </c>
      <c r="F78" s="199" t="str">
        <f>CalcK!$R$24</f>
        <v/>
      </c>
      <c r="G78" s="200" t="str">
        <f>CalcK!$S$24</f>
        <v/>
      </c>
      <c r="I78" s="196">
        <f t="shared" si="988"/>
        <v>5</v>
      </c>
      <c r="J78" s="197" t="str">
        <f t="shared" si="1144"/>
        <v>Portugal</v>
      </c>
      <c r="K78" s="198">
        <f t="shared" si="1145"/>
        <v>50</v>
      </c>
      <c r="L78" s="197" t="str">
        <f t="shared" si="1146"/>
        <v>Oezbekistan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Oezbekistan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Oezbekistan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Oezbekistan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Oezbekistan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Oezbekistan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Oezbekistan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Oezbekistan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Oezbekistan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Oezbekistan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Oezbekistan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Oezbekistan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Oezbekistan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Oezbekistan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Oezbekistan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Oezbekistan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Oezbekistan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Oezbekistan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Oezbekistan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Oezbekistan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Oezbekistan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Oezbekistan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Oezbekistan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Oezbekistan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Oezbekistan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Oezbekistan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98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98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c r="B81" s="196">
        <f>INDEX(Groups!$C$7:$C$65,MATCH(C81,Groups!$D$7:$D$65,0))</f>
        <v>46</v>
      </c>
      <c r="C81" s="197" t="str">
        <f>CalcK!$P$27</f>
        <v>DR Congo</v>
      </c>
      <c r="D81" s="198">
        <f>INDEX(Groups!$C$7:$C$65,MATCH(E81,Groups!$D$7:$D$65,0))</f>
        <v>50</v>
      </c>
      <c r="E81" s="197" t="str">
        <f>CalcK!$Q$27</f>
        <v>Oezbekistan</v>
      </c>
      <c r="F81" s="199" t="str">
        <f>CalcK!$R$27</f>
        <v/>
      </c>
      <c r="G81" s="200" t="str">
        <f>CalcK!$S$27</f>
        <v/>
      </c>
      <c r="I81" s="196">
        <f t="shared" si="988"/>
        <v>46</v>
      </c>
      <c r="J81" s="197" t="str">
        <f t="shared" si="1144"/>
        <v>DR Congo</v>
      </c>
      <c r="K81" s="198">
        <f t="shared" si="1145"/>
        <v>50</v>
      </c>
      <c r="L81" s="197" t="str">
        <f t="shared" si="1146"/>
        <v>Oezbekistan</v>
      </c>
      <c r="M81" s="232"/>
      <c r="N81" s="232"/>
      <c r="O81" s="473"/>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4"/>
      <c r="V81" s="196">
        <f t="shared" si="993"/>
        <v>46</v>
      </c>
      <c r="W81" s="197" t="str">
        <f t="shared" si="1149"/>
        <v>DR Congo</v>
      </c>
      <c r="X81" s="198">
        <f t="shared" si="1150"/>
        <v>50</v>
      </c>
      <c r="Y81" s="197" t="str">
        <f t="shared" si="1151"/>
        <v>Oezbekistan</v>
      </c>
      <c r="Z81" s="232"/>
      <c r="AA81" s="232"/>
      <c r="AB81" s="473"/>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4"/>
      <c r="AI81" s="196">
        <f t="shared" si="998"/>
        <v>46</v>
      </c>
      <c r="AJ81" s="197" t="str">
        <f t="shared" si="1154"/>
        <v>DR Congo</v>
      </c>
      <c r="AK81" s="198">
        <f t="shared" si="1155"/>
        <v>50</v>
      </c>
      <c r="AL81" s="197" t="str">
        <f t="shared" si="1156"/>
        <v>Oezbekistan</v>
      </c>
      <c r="AM81" s="232"/>
      <c r="AN81" s="232"/>
      <c r="AO81" s="473"/>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4"/>
      <c r="AV81" s="196">
        <f t="shared" si="1003"/>
        <v>46</v>
      </c>
      <c r="AW81" s="197" t="str">
        <f t="shared" si="1159"/>
        <v>DR Congo</v>
      </c>
      <c r="AX81" s="198">
        <f t="shared" si="1160"/>
        <v>50</v>
      </c>
      <c r="AY81" s="197" t="str">
        <f t="shared" si="1161"/>
        <v>Oezbekistan</v>
      </c>
      <c r="AZ81" s="232"/>
      <c r="BA81" s="232"/>
      <c r="BB81" s="473"/>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4"/>
      <c r="BI81" s="196">
        <f t="shared" si="1008"/>
        <v>46</v>
      </c>
      <c r="BJ81" s="197" t="str">
        <f t="shared" si="1164"/>
        <v>DR Congo</v>
      </c>
      <c r="BK81" s="198">
        <f t="shared" si="1165"/>
        <v>50</v>
      </c>
      <c r="BL81" s="197" t="str">
        <f t="shared" si="1166"/>
        <v>Oezbekistan</v>
      </c>
      <c r="BM81" s="232"/>
      <c r="BN81" s="232"/>
      <c r="BO81" s="473"/>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4"/>
      <c r="BV81" s="196">
        <f t="shared" si="1013"/>
        <v>46</v>
      </c>
      <c r="BW81" s="197" t="str">
        <f t="shared" si="1169"/>
        <v>DR Congo</v>
      </c>
      <c r="BX81" s="198">
        <f t="shared" si="1170"/>
        <v>50</v>
      </c>
      <c r="BY81" s="197" t="str">
        <f t="shared" si="1171"/>
        <v>Oezbekistan</v>
      </c>
      <c r="BZ81" s="232"/>
      <c r="CA81" s="232"/>
      <c r="CB81" s="473"/>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4"/>
      <c r="CI81" s="196">
        <f t="shared" si="1018"/>
        <v>46</v>
      </c>
      <c r="CJ81" s="197" t="str">
        <f t="shared" si="1174"/>
        <v>DR Congo</v>
      </c>
      <c r="CK81" s="198">
        <f t="shared" si="1175"/>
        <v>50</v>
      </c>
      <c r="CL81" s="197" t="str">
        <f t="shared" si="1176"/>
        <v>Oezbekistan</v>
      </c>
      <c r="CM81" s="232"/>
      <c r="CN81" s="232"/>
      <c r="CO81" s="473"/>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4"/>
      <c r="CV81" s="196">
        <f t="shared" si="1023"/>
        <v>46</v>
      </c>
      <c r="CW81" s="197" t="str">
        <f t="shared" si="1179"/>
        <v>DR Congo</v>
      </c>
      <c r="CX81" s="198">
        <f t="shared" si="1180"/>
        <v>50</v>
      </c>
      <c r="CY81" s="197" t="str">
        <f t="shared" si="1181"/>
        <v>Oezbekistan</v>
      </c>
      <c r="CZ81" s="232"/>
      <c r="DA81" s="232"/>
      <c r="DB81" s="473"/>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4"/>
      <c r="DI81" s="196">
        <f t="shared" si="1028"/>
        <v>46</v>
      </c>
      <c r="DJ81" s="197" t="str">
        <f t="shared" si="1184"/>
        <v>DR Congo</v>
      </c>
      <c r="DK81" s="198">
        <f t="shared" si="1185"/>
        <v>50</v>
      </c>
      <c r="DL81" s="197" t="str">
        <f t="shared" si="1186"/>
        <v>Oezbekistan</v>
      </c>
      <c r="DM81" s="232"/>
      <c r="DN81" s="232"/>
      <c r="DO81" s="473"/>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4"/>
      <c r="DV81" s="196">
        <f t="shared" si="1033"/>
        <v>46</v>
      </c>
      <c r="DW81" s="197" t="str">
        <f t="shared" si="1189"/>
        <v>DR Congo</v>
      </c>
      <c r="DX81" s="198">
        <f t="shared" si="1190"/>
        <v>50</v>
      </c>
      <c r="DY81" s="197" t="str">
        <f t="shared" si="1191"/>
        <v>Oezbekistan</v>
      </c>
      <c r="DZ81" s="232"/>
      <c r="EA81" s="232"/>
      <c r="EB81" s="473"/>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4"/>
      <c r="EI81" s="196">
        <f t="shared" si="1038"/>
        <v>46</v>
      </c>
      <c r="EJ81" s="197" t="str">
        <f t="shared" si="1194"/>
        <v>DR Congo</v>
      </c>
      <c r="EK81" s="198">
        <f t="shared" si="1195"/>
        <v>50</v>
      </c>
      <c r="EL81" s="197" t="str">
        <f t="shared" si="1196"/>
        <v>Oezbekistan</v>
      </c>
      <c r="EM81" s="232"/>
      <c r="EN81" s="232"/>
      <c r="EO81" s="473"/>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4"/>
      <c r="EV81" s="196">
        <f t="shared" si="1043"/>
        <v>46</v>
      </c>
      <c r="EW81" s="197" t="str">
        <f t="shared" si="1199"/>
        <v>DR Congo</v>
      </c>
      <c r="EX81" s="198">
        <f t="shared" si="1200"/>
        <v>50</v>
      </c>
      <c r="EY81" s="197" t="str">
        <f t="shared" si="1201"/>
        <v>Oezbekistan</v>
      </c>
      <c r="EZ81" s="232"/>
      <c r="FA81" s="232"/>
      <c r="FB81" s="473"/>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4"/>
      <c r="FI81" s="196">
        <f t="shared" si="1048"/>
        <v>46</v>
      </c>
      <c r="FJ81" s="197" t="str">
        <f t="shared" si="1204"/>
        <v>DR Congo</v>
      </c>
      <c r="FK81" s="198">
        <f t="shared" si="1205"/>
        <v>50</v>
      </c>
      <c r="FL81" s="197" t="str">
        <f t="shared" si="1206"/>
        <v>Oezbekistan</v>
      </c>
      <c r="FM81" s="232"/>
      <c r="FN81" s="232"/>
      <c r="FO81" s="473"/>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4"/>
      <c r="FV81" s="196">
        <f t="shared" si="1053"/>
        <v>46</v>
      </c>
      <c r="FW81" s="197" t="str">
        <f t="shared" si="1209"/>
        <v>DR Congo</v>
      </c>
      <c r="FX81" s="198">
        <f t="shared" si="1210"/>
        <v>50</v>
      </c>
      <c r="FY81" s="197" t="str">
        <f t="shared" si="1211"/>
        <v>Oezbekistan</v>
      </c>
      <c r="FZ81" s="232"/>
      <c r="GA81" s="232"/>
      <c r="GB81" s="473"/>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4"/>
      <c r="GI81" s="196">
        <f t="shared" si="1058"/>
        <v>46</v>
      </c>
      <c r="GJ81" s="197" t="str">
        <f t="shared" si="1214"/>
        <v>DR Congo</v>
      </c>
      <c r="GK81" s="198">
        <f t="shared" si="1215"/>
        <v>50</v>
      </c>
      <c r="GL81" s="197" t="str">
        <f t="shared" si="1216"/>
        <v>Oezbekistan</v>
      </c>
      <c r="GM81" s="232"/>
      <c r="GN81" s="232"/>
      <c r="GO81" s="473"/>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4"/>
      <c r="GV81" s="196">
        <f t="shared" si="1063"/>
        <v>46</v>
      </c>
      <c r="GW81" s="197" t="str">
        <f t="shared" si="1219"/>
        <v>DR Congo</v>
      </c>
      <c r="GX81" s="198">
        <f t="shared" si="1220"/>
        <v>50</v>
      </c>
      <c r="GY81" s="197" t="str">
        <f t="shared" si="1221"/>
        <v>Oezbekistan</v>
      </c>
      <c r="GZ81" s="232"/>
      <c r="HA81" s="232"/>
      <c r="HB81" s="473"/>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4"/>
      <c r="HI81" s="196">
        <f t="shared" si="1068"/>
        <v>46</v>
      </c>
      <c r="HJ81" s="197" t="str">
        <f t="shared" si="1224"/>
        <v>DR Congo</v>
      </c>
      <c r="HK81" s="198">
        <f t="shared" si="1225"/>
        <v>50</v>
      </c>
      <c r="HL81" s="197" t="str">
        <f t="shared" si="1226"/>
        <v>Oezbekistan</v>
      </c>
      <c r="HM81" s="232"/>
      <c r="HN81" s="232"/>
      <c r="HO81" s="473"/>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4"/>
      <c r="HV81" s="196">
        <f t="shared" si="1073"/>
        <v>46</v>
      </c>
      <c r="HW81" s="197" t="str">
        <f t="shared" si="1229"/>
        <v>DR Congo</v>
      </c>
      <c r="HX81" s="198">
        <f t="shared" si="1230"/>
        <v>50</v>
      </c>
      <c r="HY81" s="197" t="str">
        <f t="shared" si="1231"/>
        <v>Oezbekistan</v>
      </c>
      <c r="HZ81" s="232"/>
      <c r="IA81" s="232"/>
      <c r="IB81" s="473"/>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4"/>
      <c r="II81" s="196">
        <f t="shared" si="1078"/>
        <v>46</v>
      </c>
      <c r="IJ81" s="197" t="str">
        <f t="shared" si="1234"/>
        <v>DR Congo</v>
      </c>
      <c r="IK81" s="198">
        <f t="shared" si="1235"/>
        <v>50</v>
      </c>
      <c r="IL81" s="197" t="str">
        <f t="shared" si="1236"/>
        <v>Oezbekistan</v>
      </c>
      <c r="IM81" s="232"/>
      <c r="IN81" s="232"/>
      <c r="IO81" s="473"/>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4"/>
      <c r="IV81" s="196">
        <f t="shared" si="1083"/>
        <v>46</v>
      </c>
      <c r="IW81" s="197" t="str">
        <f t="shared" si="1239"/>
        <v>DR Congo</v>
      </c>
      <c r="IX81" s="198">
        <f t="shared" si="1240"/>
        <v>50</v>
      </c>
      <c r="IY81" s="197" t="str">
        <f t="shared" si="1241"/>
        <v>Oezbekistan</v>
      </c>
      <c r="IZ81" s="232"/>
      <c r="JA81" s="232"/>
      <c r="JB81" s="473"/>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4"/>
      <c r="JI81" s="196">
        <f t="shared" si="1088"/>
        <v>46</v>
      </c>
      <c r="JJ81" s="197" t="str">
        <f t="shared" si="1244"/>
        <v>DR Congo</v>
      </c>
      <c r="JK81" s="198">
        <f t="shared" si="1245"/>
        <v>50</v>
      </c>
      <c r="JL81" s="197" t="str">
        <f t="shared" si="1246"/>
        <v>Oezbekistan</v>
      </c>
      <c r="JM81" s="232"/>
      <c r="JN81" s="232"/>
      <c r="JO81" s="473"/>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4"/>
      <c r="JV81" s="196">
        <f t="shared" si="1093"/>
        <v>46</v>
      </c>
      <c r="JW81" s="197" t="str">
        <f t="shared" si="1249"/>
        <v>DR Congo</v>
      </c>
      <c r="JX81" s="198">
        <f t="shared" si="1250"/>
        <v>50</v>
      </c>
      <c r="JY81" s="197" t="str">
        <f t="shared" si="1251"/>
        <v>Oezbekistan</v>
      </c>
      <c r="JZ81" s="232"/>
      <c r="KA81" s="232"/>
      <c r="KB81" s="473"/>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4"/>
      <c r="KI81" s="196">
        <f t="shared" si="1098"/>
        <v>46</v>
      </c>
      <c r="KJ81" s="197" t="str">
        <f t="shared" si="1254"/>
        <v>DR Congo</v>
      </c>
      <c r="KK81" s="198">
        <f t="shared" si="1255"/>
        <v>50</v>
      </c>
      <c r="KL81" s="197" t="str">
        <f t="shared" si="1256"/>
        <v>Oezbekistan</v>
      </c>
      <c r="KM81" s="232"/>
      <c r="KN81" s="232"/>
      <c r="KO81" s="473"/>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4"/>
      <c r="KV81" s="196">
        <f t="shared" si="1103"/>
        <v>46</v>
      </c>
      <c r="KW81" s="197" t="str">
        <f t="shared" si="1259"/>
        <v>DR Congo</v>
      </c>
      <c r="KX81" s="198">
        <f t="shared" si="1260"/>
        <v>50</v>
      </c>
      <c r="KY81" s="197" t="str">
        <f t="shared" si="1261"/>
        <v>Oezbekistan</v>
      </c>
      <c r="KZ81" s="232"/>
      <c r="LA81" s="232"/>
      <c r="LB81" s="473"/>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4"/>
      <c r="LI81" s="196">
        <f t="shared" si="1108"/>
        <v>46</v>
      </c>
      <c r="LJ81" s="197" t="str">
        <f t="shared" si="1264"/>
        <v>DR Congo</v>
      </c>
      <c r="LK81" s="198">
        <f t="shared" si="1265"/>
        <v>50</v>
      </c>
      <c r="LL81" s="197" t="str">
        <f t="shared" si="1266"/>
        <v>Oezbekistan</v>
      </c>
      <c r="LM81" s="232"/>
      <c r="LN81" s="232"/>
      <c r="LO81" s="473"/>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4"/>
      <c r="LV81" s="196">
        <f t="shared" si="1113"/>
        <v>46</v>
      </c>
      <c r="LW81" s="197" t="str">
        <f t="shared" si="1269"/>
        <v>DR Congo</v>
      </c>
      <c r="LX81" s="198">
        <f t="shared" si="1270"/>
        <v>50</v>
      </c>
      <c r="LY81" s="197" t="str">
        <f t="shared" si="1271"/>
        <v>Oezbekistan</v>
      </c>
      <c r="LZ81" s="232"/>
      <c r="MA81" s="232"/>
      <c r="MB81" s="473"/>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4"/>
    </row>
    <row r="82" spans="1:345" ht="24" customHeight="1">
      <c r="B82" s="205" t="str">
        <f>Language!$E$130&amp;" L"</f>
        <v>Groep L</v>
      </c>
      <c r="C82" s="206"/>
      <c r="D82" s="211"/>
      <c r="E82" s="208"/>
      <c r="F82" s="212"/>
      <c r="G82" s="213"/>
      <c r="I82" s="205" t="str">
        <f t="shared" si="988"/>
        <v>Groep L</v>
      </c>
      <c r="J82" s="211"/>
      <c r="K82" s="211"/>
      <c r="L82" s="208"/>
      <c r="M82" s="236"/>
      <c r="N82" s="237"/>
      <c r="O82" s="209"/>
      <c r="P82" s="220"/>
      <c r="Q82" s="220"/>
      <c r="R82" s="208"/>
      <c r="S82" s="208"/>
      <c r="T82" s="221"/>
      <c r="V82" s="205" t="str">
        <f t="shared" si="993"/>
        <v>Groep L</v>
      </c>
      <c r="W82" s="211"/>
      <c r="X82" s="211"/>
      <c r="Y82" s="208"/>
      <c r="Z82" s="236"/>
      <c r="AA82" s="237"/>
      <c r="AB82" s="209"/>
      <c r="AC82" s="220"/>
      <c r="AD82" s="220"/>
      <c r="AE82" s="208"/>
      <c r="AF82" s="208"/>
      <c r="AG82" s="221"/>
      <c r="AI82" s="205" t="str">
        <f t="shared" si="998"/>
        <v>Groep L</v>
      </c>
      <c r="AJ82" s="211"/>
      <c r="AK82" s="211"/>
      <c r="AL82" s="208"/>
      <c r="AM82" s="236"/>
      <c r="AN82" s="237"/>
      <c r="AO82" s="209"/>
      <c r="AP82" s="220"/>
      <c r="AQ82" s="220"/>
      <c r="AR82" s="208"/>
      <c r="AS82" s="208"/>
      <c r="AT82" s="221"/>
      <c r="AV82" s="205" t="str">
        <f t="shared" si="1003"/>
        <v>Groep L</v>
      </c>
      <c r="AW82" s="211"/>
      <c r="AX82" s="211"/>
      <c r="AY82" s="208"/>
      <c r="AZ82" s="236"/>
      <c r="BA82" s="237"/>
      <c r="BB82" s="209"/>
      <c r="BC82" s="220"/>
      <c r="BD82" s="220"/>
      <c r="BE82" s="208"/>
      <c r="BF82" s="208"/>
      <c r="BG82" s="221"/>
      <c r="BI82" s="205" t="str">
        <f t="shared" si="1008"/>
        <v>Groep L</v>
      </c>
      <c r="BJ82" s="211"/>
      <c r="BK82" s="211"/>
      <c r="BL82" s="208"/>
      <c r="BM82" s="236"/>
      <c r="BN82" s="237"/>
      <c r="BO82" s="209"/>
      <c r="BP82" s="220"/>
      <c r="BQ82" s="220"/>
      <c r="BR82" s="208"/>
      <c r="BS82" s="208"/>
      <c r="BT82" s="221"/>
      <c r="BV82" s="205" t="str">
        <f t="shared" si="1013"/>
        <v>Groep L</v>
      </c>
      <c r="BW82" s="211"/>
      <c r="BX82" s="211"/>
      <c r="BY82" s="208"/>
      <c r="BZ82" s="236"/>
      <c r="CA82" s="237"/>
      <c r="CB82" s="209"/>
      <c r="CC82" s="220"/>
      <c r="CD82" s="220"/>
      <c r="CE82" s="208"/>
      <c r="CF82" s="208"/>
      <c r="CG82" s="221"/>
      <c r="CI82" s="205" t="str">
        <f t="shared" si="1018"/>
        <v>Groep L</v>
      </c>
      <c r="CJ82" s="211"/>
      <c r="CK82" s="211"/>
      <c r="CL82" s="208"/>
      <c r="CM82" s="236"/>
      <c r="CN82" s="237"/>
      <c r="CO82" s="209"/>
      <c r="CP82" s="220"/>
      <c r="CQ82" s="220"/>
      <c r="CR82" s="208"/>
      <c r="CS82" s="208"/>
      <c r="CT82" s="221"/>
      <c r="CV82" s="205" t="str">
        <f t="shared" si="1023"/>
        <v>Groep L</v>
      </c>
      <c r="CW82" s="211"/>
      <c r="CX82" s="211"/>
      <c r="CY82" s="208"/>
      <c r="CZ82" s="236"/>
      <c r="DA82" s="237"/>
      <c r="DB82" s="209"/>
      <c r="DC82" s="220"/>
      <c r="DD82" s="220"/>
      <c r="DE82" s="208"/>
      <c r="DF82" s="208"/>
      <c r="DG82" s="221"/>
      <c r="DI82" s="205" t="str">
        <f t="shared" si="1028"/>
        <v>Groep L</v>
      </c>
      <c r="DJ82" s="211"/>
      <c r="DK82" s="211"/>
      <c r="DL82" s="208"/>
      <c r="DM82" s="236"/>
      <c r="DN82" s="237"/>
      <c r="DO82" s="209"/>
      <c r="DP82" s="220"/>
      <c r="DQ82" s="220"/>
      <c r="DR82" s="208"/>
      <c r="DS82" s="208"/>
      <c r="DT82" s="221"/>
      <c r="DV82" s="205" t="str">
        <f t="shared" si="1033"/>
        <v>Groep L</v>
      </c>
      <c r="DW82" s="211"/>
      <c r="DX82" s="211"/>
      <c r="DY82" s="208"/>
      <c r="DZ82" s="236"/>
      <c r="EA82" s="237"/>
      <c r="EB82" s="209"/>
      <c r="EC82" s="220"/>
      <c r="ED82" s="220"/>
      <c r="EE82" s="208"/>
      <c r="EF82" s="208"/>
      <c r="EG82" s="221"/>
      <c r="EI82" s="205" t="str">
        <f t="shared" si="1038"/>
        <v>Groep L</v>
      </c>
      <c r="EJ82" s="211"/>
      <c r="EK82" s="211"/>
      <c r="EL82" s="208"/>
      <c r="EM82" s="236"/>
      <c r="EN82" s="237"/>
      <c r="EO82" s="209"/>
      <c r="EP82" s="220"/>
      <c r="EQ82" s="220"/>
      <c r="ER82" s="208"/>
      <c r="ES82" s="208"/>
      <c r="ET82" s="221"/>
      <c r="EV82" s="205" t="str">
        <f t="shared" si="1043"/>
        <v>Groep L</v>
      </c>
      <c r="EW82" s="211"/>
      <c r="EX82" s="211"/>
      <c r="EY82" s="208"/>
      <c r="EZ82" s="236"/>
      <c r="FA82" s="237"/>
      <c r="FB82" s="209"/>
      <c r="FC82" s="220"/>
      <c r="FD82" s="220"/>
      <c r="FE82" s="208"/>
      <c r="FF82" s="208"/>
      <c r="FG82" s="221"/>
      <c r="FI82" s="205" t="str">
        <f t="shared" si="1048"/>
        <v>Groep L</v>
      </c>
      <c r="FJ82" s="211"/>
      <c r="FK82" s="211"/>
      <c r="FL82" s="208"/>
      <c r="FM82" s="236"/>
      <c r="FN82" s="237"/>
      <c r="FO82" s="209"/>
      <c r="FP82" s="220"/>
      <c r="FQ82" s="220"/>
      <c r="FR82" s="208"/>
      <c r="FS82" s="208"/>
      <c r="FT82" s="221"/>
      <c r="FV82" s="205" t="str">
        <f t="shared" si="1053"/>
        <v>Groep L</v>
      </c>
      <c r="FW82" s="211"/>
      <c r="FX82" s="211"/>
      <c r="FY82" s="208"/>
      <c r="FZ82" s="236"/>
      <c r="GA82" s="237"/>
      <c r="GB82" s="209"/>
      <c r="GC82" s="220"/>
      <c r="GD82" s="220"/>
      <c r="GE82" s="208"/>
      <c r="GF82" s="208"/>
      <c r="GG82" s="221"/>
      <c r="GI82" s="205" t="str">
        <f t="shared" si="1058"/>
        <v>Groep L</v>
      </c>
      <c r="GJ82" s="211"/>
      <c r="GK82" s="211"/>
      <c r="GL82" s="208"/>
      <c r="GM82" s="236"/>
      <c r="GN82" s="237"/>
      <c r="GO82" s="209"/>
      <c r="GP82" s="220"/>
      <c r="GQ82" s="220"/>
      <c r="GR82" s="208"/>
      <c r="GS82" s="208"/>
      <c r="GT82" s="221"/>
      <c r="GV82" s="205" t="str">
        <f t="shared" si="1063"/>
        <v>Groep L</v>
      </c>
      <c r="GW82" s="211"/>
      <c r="GX82" s="211"/>
      <c r="GY82" s="208"/>
      <c r="GZ82" s="236"/>
      <c r="HA82" s="237"/>
      <c r="HB82" s="209"/>
      <c r="HC82" s="220"/>
      <c r="HD82" s="220"/>
      <c r="HE82" s="208"/>
      <c r="HF82" s="208"/>
      <c r="HG82" s="221"/>
      <c r="HI82" s="205" t="str">
        <f t="shared" si="1068"/>
        <v>Groep L</v>
      </c>
      <c r="HJ82" s="211"/>
      <c r="HK82" s="211"/>
      <c r="HL82" s="208"/>
      <c r="HM82" s="236"/>
      <c r="HN82" s="237"/>
      <c r="HO82" s="209"/>
      <c r="HP82" s="220"/>
      <c r="HQ82" s="220"/>
      <c r="HR82" s="208"/>
      <c r="HS82" s="208"/>
      <c r="HT82" s="221"/>
      <c r="HV82" s="205" t="str">
        <f t="shared" si="1073"/>
        <v>Groep L</v>
      </c>
      <c r="HW82" s="211"/>
      <c r="HX82" s="211"/>
      <c r="HY82" s="208"/>
      <c r="HZ82" s="236"/>
      <c r="IA82" s="237"/>
      <c r="IB82" s="209"/>
      <c r="IC82" s="220"/>
      <c r="ID82" s="220"/>
      <c r="IE82" s="208"/>
      <c r="IF82" s="208"/>
      <c r="IG82" s="221"/>
      <c r="II82" s="205" t="str">
        <f t="shared" si="1078"/>
        <v>Groep L</v>
      </c>
      <c r="IJ82" s="211"/>
      <c r="IK82" s="211"/>
      <c r="IL82" s="208"/>
      <c r="IM82" s="236"/>
      <c r="IN82" s="237"/>
      <c r="IO82" s="209"/>
      <c r="IP82" s="220"/>
      <c r="IQ82" s="220"/>
      <c r="IR82" s="208"/>
      <c r="IS82" s="208"/>
      <c r="IT82" s="221"/>
      <c r="IV82" s="205" t="str">
        <f t="shared" si="1083"/>
        <v>Groep L</v>
      </c>
      <c r="IW82" s="211"/>
      <c r="IX82" s="211"/>
      <c r="IY82" s="208"/>
      <c r="IZ82" s="236"/>
      <c r="JA82" s="237"/>
      <c r="JB82" s="209"/>
      <c r="JC82" s="220"/>
      <c r="JD82" s="220"/>
      <c r="JE82" s="208"/>
      <c r="JF82" s="208"/>
      <c r="JG82" s="221"/>
      <c r="JI82" s="205" t="str">
        <f t="shared" si="1088"/>
        <v>Groep L</v>
      </c>
      <c r="JJ82" s="211"/>
      <c r="JK82" s="211"/>
      <c r="JL82" s="208"/>
      <c r="JM82" s="236"/>
      <c r="JN82" s="237"/>
      <c r="JO82" s="209"/>
      <c r="JP82" s="220"/>
      <c r="JQ82" s="220"/>
      <c r="JR82" s="208"/>
      <c r="JS82" s="208"/>
      <c r="JT82" s="221"/>
      <c r="JV82" s="205" t="str">
        <f t="shared" si="1093"/>
        <v>Groep L</v>
      </c>
      <c r="JW82" s="211"/>
      <c r="JX82" s="211"/>
      <c r="JY82" s="208"/>
      <c r="JZ82" s="236"/>
      <c r="KA82" s="237"/>
      <c r="KB82" s="209"/>
      <c r="KC82" s="220"/>
      <c r="KD82" s="220"/>
      <c r="KE82" s="208"/>
      <c r="KF82" s="208"/>
      <c r="KG82" s="221"/>
      <c r="KI82" s="205" t="str">
        <f t="shared" si="1098"/>
        <v>Groep L</v>
      </c>
      <c r="KJ82" s="211"/>
      <c r="KK82" s="211"/>
      <c r="KL82" s="208"/>
      <c r="KM82" s="236"/>
      <c r="KN82" s="237"/>
      <c r="KO82" s="209"/>
      <c r="KP82" s="220"/>
      <c r="KQ82" s="220"/>
      <c r="KR82" s="208"/>
      <c r="KS82" s="208"/>
      <c r="KT82" s="221"/>
      <c r="KV82" s="205" t="str">
        <f t="shared" si="1103"/>
        <v>Groep L</v>
      </c>
      <c r="KW82" s="211"/>
      <c r="KX82" s="211"/>
      <c r="KY82" s="208"/>
      <c r="KZ82" s="236"/>
      <c r="LA82" s="237"/>
      <c r="LB82" s="209"/>
      <c r="LC82" s="220"/>
      <c r="LD82" s="220"/>
      <c r="LE82" s="208"/>
      <c r="LF82" s="208"/>
      <c r="LG82" s="221"/>
      <c r="LI82" s="205" t="str">
        <f t="shared" si="1108"/>
        <v>Groep L</v>
      </c>
      <c r="LJ82" s="211"/>
      <c r="LK82" s="211"/>
      <c r="LL82" s="208"/>
      <c r="LM82" s="236"/>
      <c r="LN82" s="237"/>
      <c r="LO82" s="209"/>
      <c r="LP82" s="220"/>
      <c r="LQ82" s="220"/>
      <c r="LR82" s="208"/>
      <c r="LS82" s="208"/>
      <c r="LT82" s="221"/>
      <c r="LV82" s="205" t="str">
        <f t="shared" si="1113"/>
        <v>Groep L</v>
      </c>
      <c r="LW82" s="211"/>
      <c r="LX82" s="211"/>
      <c r="LY82" s="208"/>
      <c r="LZ82" s="236"/>
      <c r="MA82" s="237"/>
      <c r="MB82" s="209"/>
      <c r="MC82" s="220"/>
      <c r="MD82" s="220"/>
      <c r="ME82" s="208"/>
      <c r="MF82" s="208"/>
      <c r="MG82" s="221"/>
    </row>
    <row r="83" spans="1:345">
      <c r="B83" s="196">
        <f>INDEX(Groups!$C$7:$C$65,MATCH(C83,Groups!$D$7:$D$65,0))</f>
        <v>4</v>
      </c>
      <c r="C83" s="197" t="str">
        <f>CalcL!$P$22</f>
        <v>Engeland</v>
      </c>
      <c r="D83" s="198">
        <f>INDEX(Groups!$C$7:$C$65,MATCH(E83,Groups!$D$7:$D$65,0))</f>
        <v>11</v>
      </c>
      <c r="E83" s="197" t="str">
        <f>CalcL!$Q$22</f>
        <v>Kroatië</v>
      </c>
      <c r="F83" s="199" t="str">
        <f>CalcL!$R$22</f>
        <v/>
      </c>
      <c r="G83" s="200" t="str">
        <f>CalcL!$S$22</f>
        <v/>
      </c>
      <c r="I83" s="196">
        <f t="shared" si="988"/>
        <v>4</v>
      </c>
      <c r="J83" s="197" t="str">
        <f t="shared" ref="J83:J88" si="1274">$C83</f>
        <v>Engeland</v>
      </c>
      <c r="K83" s="198">
        <f t="shared" ref="K83:K88" si="1275">$D83</f>
        <v>11</v>
      </c>
      <c r="L83" s="197" t="str">
        <f t="shared" ref="L83:L88" si="1276">$E83</f>
        <v>Kroatië</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Engeland</v>
      </c>
      <c r="X83" s="198">
        <f t="shared" ref="X83:X88" si="1280">$D83</f>
        <v>11</v>
      </c>
      <c r="Y83" s="197" t="str">
        <f t="shared" ref="Y83:Y88" si="1281">$E83</f>
        <v>Kroatië</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Engeland</v>
      </c>
      <c r="AK83" s="198">
        <f t="shared" ref="AK83:AK88" si="1285">$D83</f>
        <v>11</v>
      </c>
      <c r="AL83" s="197" t="str">
        <f t="shared" ref="AL83:AL88" si="1286">$E83</f>
        <v>Kroatië</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Engeland</v>
      </c>
      <c r="AX83" s="198">
        <f t="shared" ref="AX83:AX88" si="1290">$D83</f>
        <v>11</v>
      </c>
      <c r="AY83" s="197" t="str">
        <f t="shared" ref="AY83:AY88" si="1291">$E83</f>
        <v>Kroatië</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Engeland</v>
      </c>
      <c r="BK83" s="198">
        <f t="shared" ref="BK83:BK88" si="1295">$D83</f>
        <v>11</v>
      </c>
      <c r="BL83" s="197" t="str">
        <f t="shared" ref="BL83:BL88" si="1296">$E83</f>
        <v>Kroatië</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Engeland</v>
      </c>
      <c r="BX83" s="198">
        <f t="shared" ref="BX83:BX88" si="1300">$D83</f>
        <v>11</v>
      </c>
      <c r="BY83" s="197" t="str">
        <f t="shared" ref="BY83:BY88" si="1301">$E83</f>
        <v>Kroatië</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Engeland</v>
      </c>
      <c r="CK83" s="198">
        <f t="shared" ref="CK83:CK88" si="1305">$D83</f>
        <v>11</v>
      </c>
      <c r="CL83" s="197" t="str">
        <f t="shared" ref="CL83:CL88" si="1306">$E83</f>
        <v>Kroatië</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Engeland</v>
      </c>
      <c r="CX83" s="198">
        <f t="shared" ref="CX83:CX88" si="1310">$D83</f>
        <v>11</v>
      </c>
      <c r="CY83" s="197" t="str">
        <f t="shared" ref="CY83:CY88" si="1311">$E83</f>
        <v>Kroatië</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Engeland</v>
      </c>
      <c r="DK83" s="198">
        <f t="shared" ref="DK83:DK88" si="1315">$D83</f>
        <v>11</v>
      </c>
      <c r="DL83" s="197" t="str">
        <f t="shared" ref="DL83:DL88" si="1316">$E83</f>
        <v>Kroatië</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Engeland</v>
      </c>
      <c r="DX83" s="198">
        <f t="shared" ref="DX83:DX88" si="1320">$D83</f>
        <v>11</v>
      </c>
      <c r="DY83" s="197" t="str">
        <f t="shared" ref="DY83:DY88" si="1321">$E83</f>
        <v>Kroatië</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Engeland</v>
      </c>
      <c r="EK83" s="198">
        <f t="shared" ref="EK83:EK88" si="1325">$D83</f>
        <v>11</v>
      </c>
      <c r="EL83" s="197" t="str">
        <f t="shared" ref="EL83:EL88" si="1326">$E83</f>
        <v>Kroatië</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Engeland</v>
      </c>
      <c r="EX83" s="198">
        <f t="shared" ref="EX83:EX88" si="1330">$D83</f>
        <v>11</v>
      </c>
      <c r="EY83" s="197" t="str">
        <f t="shared" ref="EY83:EY88" si="1331">$E83</f>
        <v>Kroatië</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Engeland</v>
      </c>
      <c r="FK83" s="198">
        <f t="shared" ref="FK83:FK88" si="1335">$D83</f>
        <v>11</v>
      </c>
      <c r="FL83" s="197" t="str">
        <f t="shared" ref="FL83:FL88" si="1336">$E83</f>
        <v>Kroatië</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Engeland</v>
      </c>
      <c r="FX83" s="198">
        <f t="shared" ref="FX83:FX88" si="1340">$D83</f>
        <v>11</v>
      </c>
      <c r="FY83" s="197" t="str">
        <f t="shared" ref="FY83:FY88" si="1341">$E83</f>
        <v>Kroatië</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Engeland</v>
      </c>
      <c r="GK83" s="198">
        <f t="shared" ref="GK83:GK88" si="1345">$D83</f>
        <v>11</v>
      </c>
      <c r="GL83" s="197" t="str">
        <f t="shared" ref="GL83:GL88" si="1346">$E83</f>
        <v>Kroatië</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Engeland</v>
      </c>
      <c r="GX83" s="198">
        <f t="shared" ref="GX83:GX88" si="1350">$D83</f>
        <v>11</v>
      </c>
      <c r="GY83" s="197" t="str">
        <f t="shared" ref="GY83:GY88" si="1351">$E83</f>
        <v>Kroatië</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Engeland</v>
      </c>
      <c r="HK83" s="198">
        <f t="shared" ref="HK83:HK88" si="1355">$D83</f>
        <v>11</v>
      </c>
      <c r="HL83" s="197" t="str">
        <f t="shared" ref="HL83:HL88" si="1356">$E83</f>
        <v>Kroatië</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Engeland</v>
      </c>
      <c r="HX83" s="198">
        <f t="shared" ref="HX83:HX88" si="1360">$D83</f>
        <v>11</v>
      </c>
      <c r="HY83" s="197" t="str">
        <f t="shared" ref="HY83:HY88" si="1361">$E83</f>
        <v>Kroatië</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Engeland</v>
      </c>
      <c r="IK83" s="198">
        <f t="shared" ref="IK83:IK88" si="1365">$D83</f>
        <v>11</v>
      </c>
      <c r="IL83" s="197" t="str">
        <f t="shared" ref="IL83:IL88" si="1366">$E83</f>
        <v>Kroatië</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Engeland</v>
      </c>
      <c r="IX83" s="198">
        <f t="shared" ref="IX83:IX88" si="1370">$D83</f>
        <v>11</v>
      </c>
      <c r="IY83" s="197" t="str">
        <f t="shared" ref="IY83:IY88" si="1371">$E83</f>
        <v>Kroatië</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Engeland</v>
      </c>
      <c r="JK83" s="198">
        <f t="shared" ref="JK83:JK88" si="1375">$D83</f>
        <v>11</v>
      </c>
      <c r="JL83" s="197" t="str">
        <f t="shared" ref="JL83:JL88" si="1376">$E83</f>
        <v>Kroatië</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Engeland</v>
      </c>
      <c r="JX83" s="198">
        <f t="shared" ref="JX83:JX88" si="1380">$D83</f>
        <v>11</v>
      </c>
      <c r="JY83" s="197" t="str">
        <f t="shared" ref="JY83:JY88" si="1381">$E83</f>
        <v>Kroatië</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Engeland</v>
      </c>
      <c r="KK83" s="198">
        <f t="shared" ref="KK83:KK88" si="1385">$D83</f>
        <v>11</v>
      </c>
      <c r="KL83" s="197" t="str">
        <f t="shared" ref="KL83:KL88" si="1386">$E83</f>
        <v>Kroatië</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Engeland</v>
      </c>
      <c r="KX83" s="198">
        <f t="shared" ref="KX83:KX88" si="1390">$D83</f>
        <v>11</v>
      </c>
      <c r="KY83" s="197" t="str">
        <f t="shared" ref="KY83:KY88" si="1391">$E83</f>
        <v>Kroatië</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Engeland</v>
      </c>
      <c r="LK83" s="198">
        <f t="shared" ref="LK83:LK88" si="1395">$D83</f>
        <v>11</v>
      </c>
      <c r="LL83" s="197" t="str">
        <f t="shared" ref="LL83:LL88" si="1396">$E83</f>
        <v>Kroatië</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Engeland</v>
      </c>
      <c r="LX83" s="198">
        <f t="shared" ref="LX83:LX88" si="1400">$D83</f>
        <v>11</v>
      </c>
      <c r="LY83" s="197" t="str">
        <f t="shared" ref="LY83:LY88" si="1401">$E83</f>
        <v>Kroatië</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c r="B84" s="196">
        <f>INDEX(Groups!$C$7:$C$65,MATCH(C84,Groups!$D$7:$D$65,0))</f>
        <v>74</v>
      </c>
      <c r="C84" s="197" t="str">
        <f>CalcL!$P$23</f>
        <v>Ghana</v>
      </c>
      <c r="D84" s="198">
        <f>INDEX(Groups!$C$7:$C$65,MATCH(E84,Groups!$D$7:$D$65,0))</f>
        <v>33</v>
      </c>
      <c r="E84" s="197" t="str">
        <f>CalcL!$Q$23</f>
        <v>Panama</v>
      </c>
      <c r="F84" s="725" t="str">
        <f>CalcL!$R$23</f>
        <v/>
      </c>
      <c r="G84" s="200" t="str">
        <f>CalcL!$S$23</f>
        <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c r="B85" s="196">
        <f>INDEX(Groups!$C$7:$C$65,MATCH(C85,Groups!$D$7:$D$65,0))</f>
        <v>4</v>
      </c>
      <c r="C85" s="197" t="str">
        <f>CalcL!$P$24</f>
        <v>Engeland</v>
      </c>
      <c r="D85" s="198">
        <f>INDEX(Groups!$C$7:$C$65,MATCH(E85,Groups!$D$7:$D$65,0))</f>
        <v>74</v>
      </c>
      <c r="E85" s="197" t="str">
        <f>CalcL!$Q$24</f>
        <v>Ghana</v>
      </c>
      <c r="F85" s="199" t="str">
        <f>CalcL!$R$24</f>
        <v/>
      </c>
      <c r="G85" s="200" t="str">
        <f>CalcL!$S$24</f>
        <v/>
      </c>
      <c r="I85" s="196">
        <f t="shared" si="988"/>
        <v>4</v>
      </c>
      <c r="J85" s="197" t="str">
        <f t="shared" si="1274"/>
        <v>Engeland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Engeland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Engeland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Engeland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Engeland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Engeland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Engeland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Engeland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Engeland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Engeland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Engeland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Engeland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Engeland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Engeland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Engeland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Engeland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Engeland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Engeland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Engeland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Engeland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Engeland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Engeland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Engeland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Engeland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Engeland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Engeland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c r="B86" s="196">
        <f>INDEX(Groups!$C$7:$C$65,MATCH(C86,Groups!$D$7:$D$65,0))</f>
        <v>33</v>
      </c>
      <c r="C86" s="197" t="str">
        <f>CalcL!$P$25</f>
        <v>Panama</v>
      </c>
      <c r="D86" s="198">
        <f>INDEX(Groups!$C$7:$C$65,MATCH(E86,Groups!$D$7:$D$65,0))</f>
        <v>11</v>
      </c>
      <c r="E86" s="197" t="str">
        <f>CalcL!$Q$25</f>
        <v>Kroatië</v>
      </c>
      <c r="F86" s="199" t="str">
        <f>CalcL!$R$25</f>
        <v/>
      </c>
      <c r="G86" s="200" t="str">
        <f>CalcL!$S$25</f>
        <v/>
      </c>
      <c r="I86" s="196">
        <f t="shared" si="988"/>
        <v>33</v>
      </c>
      <c r="J86" s="197" t="str">
        <f t="shared" si="1274"/>
        <v>Panama</v>
      </c>
      <c r="K86" s="198">
        <f t="shared" si="1275"/>
        <v>11</v>
      </c>
      <c r="L86" s="197" t="str">
        <f t="shared" si="1276"/>
        <v>Kroatië</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Kroatië</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Kroatië</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Kroatië</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Kroatië</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Kroatië</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Kroatië</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Kroatië</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Kroatië</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Kroatië</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Kroatië</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Kroatië</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Kroatië</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Kroatië</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Kroatië</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Kroatië</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Kroatië</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Kroatië</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Kroatië</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Kroatië</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Kroatië</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Kroatië</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Kroatië</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Kroatië</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Kroatië</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Kroatië</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c r="B87" s="196">
        <f>INDEX(Groups!$C$7:$C$65,MATCH(C87,Groups!$D$7:$D$65,0))</f>
        <v>33</v>
      </c>
      <c r="C87" s="197" t="str">
        <f>CalcL!$P$26</f>
        <v>Panama</v>
      </c>
      <c r="D87" s="198">
        <f>INDEX(Groups!$C$7:$C$65,MATCH(E87,Groups!$D$7:$D$65,0))</f>
        <v>4</v>
      </c>
      <c r="E87" s="197" t="str">
        <f>CalcL!$Q$26</f>
        <v>Engeland</v>
      </c>
      <c r="F87" s="199" t="str">
        <f>CalcL!$R$26</f>
        <v/>
      </c>
      <c r="G87" s="200" t="str">
        <f>CalcL!$S$26</f>
        <v/>
      </c>
      <c r="I87" s="196">
        <f t="shared" si="988"/>
        <v>33</v>
      </c>
      <c r="J87" s="197" t="str">
        <f t="shared" si="1274"/>
        <v>Panama</v>
      </c>
      <c r="K87" s="198">
        <f t="shared" si="1275"/>
        <v>4</v>
      </c>
      <c r="L87" s="197" t="str">
        <f t="shared" si="1276"/>
        <v>Engeland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Engeland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Engeland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Engeland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Engeland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Engeland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Engeland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Engeland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Engeland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Engeland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Engeland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Engeland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Engeland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Engeland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Engeland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Engeland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Engeland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Engeland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Engeland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Engeland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Engeland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Engeland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Engeland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Engeland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Engeland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Engeland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c r="B88" s="196">
        <f>INDEX(Groups!$C$7:$C$65,MATCH(C88,Groups!$D$7:$D$65,0))</f>
        <v>11</v>
      </c>
      <c r="C88" s="197" t="str">
        <f>CalcL!$P$27</f>
        <v>Kroatië</v>
      </c>
      <c r="D88" s="198">
        <f>INDEX(Groups!$C$7:$C$65,MATCH(E88,Groups!$D$7:$D$65,0))</f>
        <v>74</v>
      </c>
      <c r="E88" s="197" t="str">
        <f>CalcL!$Q$27</f>
        <v>Ghana</v>
      </c>
      <c r="F88" s="199" t="str">
        <f>CalcL!$R$27</f>
        <v/>
      </c>
      <c r="G88" s="200" t="str">
        <f>CalcL!$S$27</f>
        <v/>
      </c>
      <c r="I88" s="196">
        <f t="shared" si="988"/>
        <v>11</v>
      </c>
      <c r="J88" s="197" t="str">
        <f t="shared" si="1274"/>
        <v>Kroatië</v>
      </c>
      <c r="K88" s="198">
        <f t="shared" si="1275"/>
        <v>74</v>
      </c>
      <c r="L88" s="197" t="str">
        <f t="shared" si="1276"/>
        <v>Ghana</v>
      </c>
      <c r="M88" s="232"/>
      <c r="N88" s="232"/>
      <c r="O88" s="473"/>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4"/>
      <c r="V88" s="196">
        <f t="shared" si="993"/>
        <v>11</v>
      </c>
      <c r="W88" s="197" t="str">
        <f t="shared" si="1279"/>
        <v>Kroatië</v>
      </c>
      <c r="X88" s="198">
        <f t="shared" si="1280"/>
        <v>74</v>
      </c>
      <c r="Y88" s="197" t="str">
        <f t="shared" si="1281"/>
        <v>Ghana</v>
      </c>
      <c r="Z88" s="232"/>
      <c r="AA88" s="232"/>
      <c r="AB88" s="473"/>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4"/>
      <c r="AI88" s="196">
        <f t="shared" si="998"/>
        <v>11</v>
      </c>
      <c r="AJ88" s="197" t="str">
        <f t="shared" si="1284"/>
        <v>Kroatië</v>
      </c>
      <c r="AK88" s="198">
        <f t="shared" si="1285"/>
        <v>74</v>
      </c>
      <c r="AL88" s="197" t="str">
        <f t="shared" si="1286"/>
        <v>Ghana</v>
      </c>
      <c r="AM88" s="232"/>
      <c r="AN88" s="232"/>
      <c r="AO88" s="473"/>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4"/>
      <c r="AV88" s="196">
        <f t="shared" si="1003"/>
        <v>11</v>
      </c>
      <c r="AW88" s="197" t="str">
        <f t="shared" si="1289"/>
        <v>Kroatië</v>
      </c>
      <c r="AX88" s="198">
        <f t="shared" si="1290"/>
        <v>74</v>
      </c>
      <c r="AY88" s="197" t="str">
        <f t="shared" si="1291"/>
        <v>Ghana</v>
      </c>
      <c r="AZ88" s="232"/>
      <c r="BA88" s="232"/>
      <c r="BB88" s="473"/>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4"/>
      <c r="BI88" s="196">
        <f t="shared" si="1008"/>
        <v>11</v>
      </c>
      <c r="BJ88" s="197" t="str">
        <f t="shared" si="1294"/>
        <v>Kroatië</v>
      </c>
      <c r="BK88" s="198">
        <f t="shared" si="1295"/>
        <v>74</v>
      </c>
      <c r="BL88" s="197" t="str">
        <f t="shared" si="1296"/>
        <v>Ghana</v>
      </c>
      <c r="BM88" s="232"/>
      <c r="BN88" s="232"/>
      <c r="BO88" s="473"/>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4"/>
      <c r="BV88" s="196">
        <f t="shared" si="1013"/>
        <v>11</v>
      </c>
      <c r="BW88" s="197" t="str">
        <f t="shared" si="1299"/>
        <v>Kroatië</v>
      </c>
      <c r="BX88" s="198">
        <f t="shared" si="1300"/>
        <v>74</v>
      </c>
      <c r="BY88" s="197" t="str">
        <f t="shared" si="1301"/>
        <v>Ghana</v>
      </c>
      <c r="BZ88" s="232"/>
      <c r="CA88" s="232"/>
      <c r="CB88" s="473"/>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4"/>
      <c r="CI88" s="196">
        <f t="shared" si="1018"/>
        <v>11</v>
      </c>
      <c r="CJ88" s="197" t="str">
        <f t="shared" si="1304"/>
        <v>Kroatië</v>
      </c>
      <c r="CK88" s="198">
        <f t="shared" si="1305"/>
        <v>74</v>
      </c>
      <c r="CL88" s="197" t="str">
        <f t="shared" si="1306"/>
        <v>Ghana</v>
      </c>
      <c r="CM88" s="232"/>
      <c r="CN88" s="232"/>
      <c r="CO88" s="473"/>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4"/>
      <c r="CV88" s="196">
        <f t="shared" si="1023"/>
        <v>11</v>
      </c>
      <c r="CW88" s="197" t="str">
        <f t="shared" si="1309"/>
        <v>Kroatië</v>
      </c>
      <c r="CX88" s="198">
        <f t="shared" si="1310"/>
        <v>74</v>
      </c>
      <c r="CY88" s="197" t="str">
        <f t="shared" si="1311"/>
        <v>Ghana</v>
      </c>
      <c r="CZ88" s="232"/>
      <c r="DA88" s="232"/>
      <c r="DB88" s="473"/>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4"/>
      <c r="DI88" s="196">
        <f t="shared" si="1028"/>
        <v>11</v>
      </c>
      <c r="DJ88" s="197" t="str">
        <f t="shared" si="1314"/>
        <v>Kroatië</v>
      </c>
      <c r="DK88" s="198">
        <f t="shared" si="1315"/>
        <v>74</v>
      </c>
      <c r="DL88" s="197" t="str">
        <f t="shared" si="1316"/>
        <v>Ghana</v>
      </c>
      <c r="DM88" s="232"/>
      <c r="DN88" s="232"/>
      <c r="DO88" s="473"/>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4"/>
      <c r="DV88" s="196">
        <f t="shared" si="1033"/>
        <v>11</v>
      </c>
      <c r="DW88" s="197" t="str">
        <f t="shared" si="1319"/>
        <v>Kroatië</v>
      </c>
      <c r="DX88" s="198">
        <f t="shared" si="1320"/>
        <v>74</v>
      </c>
      <c r="DY88" s="197" t="str">
        <f t="shared" si="1321"/>
        <v>Ghana</v>
      </c>
      <c r="DZ88" s="232"/>
      <c r="EA88" s="232"/>
      <c r="EB88" s="473"/>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4"/>
      <c r="EI88" s="196">
        <f t="shared" si="1038"/>
        <v>11</v>
      </c>
      <c r="EJ88" s="197" t="str">
        <f t="shared" si="1324"/>
        <v>Kroatië</v>
      </c>
      <c r="EK88" s="198">
        <f t="shared" si="1325"/>
        <v>74</v>
      </c>
      <c r="EL88" s="197" t="str">
        <f t="shared" si="1326"/>
        <v>Ghana</v>
      </c>
      <c r="EM88" s="232"/>
      <c r="EN88" s="232"/>
      <c r="EO88" s="473"/>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4"/>
      <c r="EV88" s="196">
        <f t="shared" si="1043"/>
        <v>11</v>
      </c>
      <c r="EW88" s="197" t="str">
        <f t="shared" si="1329"/>
        <v>Kroatië</v>
      </c>
      <c r="EX88" s="198">
        <f t="shared" si="1330"/>
        <v>74</v>
      </c>
      <c r="EY88" s="197" t="str">
        <f t="shared" si="1331"/>
        <v>Ghana</v>
      </c>
      <c r="EZ88" s="232"/>
      <c r="FA88" s="232"/>
      <c r="FB88" s="473"/>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4"/>
      <c r="FI88" s="196">
        <f t="shared" si="1048"/>
        <v>11</v>
      </c>
      <c r="FJ88" s="197" t="str">
        <f t="shared" si="1334"/>
        <v>Kroatië</v>
      </c>
      <c r="FK88" s="198">
        <f t="shared" si="1335"/>
        <v>74</v>
      </c>
      <c r="FL88" s="197" t="str">
        <f t="shared" si="1336"/>
        <v>Ghana</v>
      </c>
      <c r="FM88" s="232"/>
      <c r="FN88" s="232"/>
      <c r="FO88" s="473"/>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4"/>
      <c r="FV88" s="196">
        <f t="shared" si="1053"/>
        <v>11</v>
      </c>
      <c r="FW88" s="197" t="str">
        <f t="shared" si="1339"/>
        <v>Kroatië</v>
      </c>
      <c r="FX88" s="198">
        <f t="shared" si="1340"/>
        <v>74</v>
      </c>
      <c r="FY88" s="197" t="str">
        <f t="shared" si="1341"/>
        <v>Ghana</v>
      </c>
      <c r="FZ88" s="232"/>
      <c r="GA88" s="232"/>
      <c r="GB88" s="473"/>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4"/>
      <c r="GI88" s="196">
        <f t="shared" si="1058"/>
        <v>11</v>
      </c>
      <c r="GJ88" s="197" t="str">
        <f t="shared" si="1344"/>
        <v>Kroatië</v>
      </c>
      <c r="GK88" s="198">
        <f t="shared" si="1345"/>
        <v>74</v>
      </c>
      <c r="GL88" s="197" t="str">
        <f t="shared" si="1346"/>
        <v>Ghana</v>
      </c>
      <c r="GM88" s="232"/>
      <c r="GN88" s="232"/>
      <c r="GO88" s="473"/>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4"/>
      <c r="GV88" s="196">
        <f t="shared" si="1063"/>
        <v>11</v>
      </c>
      <c r="GW88" s="197" t="str">
        <f t="shared" si="1349"/>
        <v>Kroatië</v>
      </c>
      <c r="GX88" s="198">
        <f t="shared" si="1350"/>
        <v>74</v>
      </c>
      <c r="GY88" s="197" t="str">
        <f t="shared" si="1351"/>
        <v>Ghana</v>
      </c>
      <c r="GZ88" s="232"/>
      <c r="HA88" s="232"/>
      <c r="HB88" s="473"/>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4"/>
      <c r="HI88" s="196">
        <f t="shared" si="1068"/>
        <v>11</v>
      </c>
      <c r="HJ88" s="197" t="str">
        <f t="shared" si="1354"/>
        <v>Kroatië</v>
      </c>
      <c r="HK88" s="198">
        <f t="shared" si="1355"/>
        <v>74</v>
      </c>
      <c r="HL88" s="197" t="str">
        <f t="shared" si="1356"/>
        <v>Ghana</v>
      </c>
      <c r="HM88" s="232"/>
      <c r="HN88" s="232"/>
      <c r="HO88" s="473"/>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4"/>
      <c r="HV88" s="196">
        <f t="shared" si="1073"/>
        <v>11</v>
      </c>
      <c r="HW88" s="197" t="str">
        <f t="shared" si="1359"/>
        <v>Kroatië</v>
      </c>
      <c r="HX88" s="198">
        <f t="shared" si="1360"/>
        <v>74</v>
      </c>
      <c r="HY88" s="197" t="str">
        <f t="shared" si="1361"/>
        <v>Ghana</v>
      </c>
      <c r="HZ88" s="232"/>
      <c r="IA88" s="232"/>
      <c r="IB88" s="473"/>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4"/>
      <c r="II88" s="196">
        <f t="shared" si="1078"/>
        <v>11</v>
      </c>
      <c r="IJ88" s="197" t="str">
        <f t="shared" si="1364"/>
        <v>Kroatië</v>
      </c>
      <c r="IK88" s="198">
        <f t="shared" si="1365"/>
        <v>74</v>
      </c>
      <c r="IL88" s="197" t="str">
        <f t="shared" si="1366"/>
        <v>Ghana</v>
      </c>
      <c r="IM88" s="232"/>
      <c r="IN88" s="232"/>
      <c r="IO88" s="473"/>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4"/>
      <c r="IV88" s="196">
        <f t="shared" si="1083"/>
        <v>11</v>
      </c>
      <c r="IW88" s="197" t="str">
        <f t="shared" si="1369"/>
        <v>Kroatië</v>
      </c>
      <c r="IX88" s="198">
        <f t="shared" si="1370"/>
        <v>74</v>
      </c>
      <c r="IY88" s="197" t="str">
        <f t="shared" si="1371"/>
        <v>Ghana</v>
      </c>
      <c r="IZ88" s="232"/>
      <c r="JA88" s="232"/>
      <c r="JB88" s="473"/>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4"/>
      <c r="JI88" s="196">
        <f t="shared" si="1088"/>
        <v>11</v>
      </c>
      <c r="JJ88" s="197" t="str">
        <f t="shared" si="1374"/>
        <v>Kroatië</v>
      </c>
      <c r="JK88" s="198">
        <f t="shared" si="1375"/>
        <v>74</v>
      </c>
      <c r="JL88" s="197" t="str">
        <f t="shared" si="1376"/>
        <v>Ghana</v>
      </c>
      <c r="JM88" s="232"/>
      <c r="JN88" s="232"/>
      <c r="JO88" s="473"/>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4"/>
      <c r="JV88" s="196">
        <f t="shared" si="1093"/>
        <v>11</v>
      </c>
      <c r="JW88" s="197" t="str">
        <f t="shared" si="1379"/>
        <v>Kroatië</v>
      </c>
      <c r="JX88" s="198">
        <f t="shared" si="1380"/>
        <v>74</v>
      </c>
      <c r="JY88" s="197" t="str">
        <f t="shared" si="1381"/>
        <v>Ghana</v>
      </c>
      <c r="JZ88" s="232"/>
      <c r="KA88" s="232"/>
      <c r="KB88" s="473"/>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4"/>
      <c r="KI88" s="196">
        <f t="shared" si="1098"/>
        <v>11</v>
      </c>
      <c r="KJ88" s="197" t="str">
        <f t="shared" si="1384"/>
        <v>Kroatië</v>
      </c>
      <c r="KK88" s="198">
        <f t="shared" si="1385"/>
        <v>74</v>
      </c>
      <c r="KL88" s="197" t="str">
        <f t="shared" si="1386"/>
        <v>Ghana</v>
      </c>
      <c r="KM88" s="232"/>
      <c r="KN88" s="232"/>
      <c r="KO88" s="473"/>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4"/>
      <c r="KV88" s="196">
        <f t="shared" si="1103"/>
        <v>11</v>
      </c>
      <c r="KW88" s="197" t="str">
        <f t="shared" si="1389"/>
        <v>Kroatië</v>
      </c>
      <c r="KX88" s="198">
        <f t="shared" si="1390"/>
        <v>74</v>
      </c>
      <c r="KY88" s="197" t="str">
        <f t="shared" si="1391"/>
        <v>Ghana</v>
      </c>
      <c r="KZ88" s="232"/>
      <c r="LA88" s="232"/>
      <c r="LB88" s="473"/>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4"/>
      <c r="LI88" s="196">
        <f t="shared" si="1108"/>
        <v>11</v>
      </c>
      <c r="LJ88" s="197" t="str">
        <f t="shared" si="1394"/>
        <v>Kroatië</v>
      </c>
      <c r="LK88" s="198">
        <f t="shared" si="1395"/>
        <v>74</v>
      </c>
      <c r="LL88" s="197" t="str">
        <f t="shared" si="1396"/>
        <v>Ghana</v>
      </c>
      <c r="LM88" s="232"/>
      <c r="LN88" s="232"/>
      <c r="LO88" s="473"/>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4"/>
      <c r="LV88" s="196">
        <f t="shared" si="1113"/>
        <v>11</v>
      </c>
      <c r="LW88" s="197" t="str">
        <f t="shared" si="1399"/>
        <v>Kroatië</v>
      </c>
      <c r="LX88" s="198">
        <f t="shared" si="1400"/>
        <v>74</v>
      </c>
      <c r="LY88" s="197" t="str">
        <f t="shared" si="1401"/>
        <v>Ghana</v>
      </c>
      <c r="LZ88" s="232"/>
      <c r="MA88" s="232"/>
      <c r="MB88" s="473"/>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4"/>
    </row>
    <row r="89" spans="1:345" s="22" customFormat="1" ht="24" customHeight="1">
      <c r="A89" s="193"/>
      <c r="B89" s="205" t="str">
        <f>Language!$E$214</f>
        <v>Zestiende finale</v>
      </c>
      <c r="C89" s="211"/>
      <c r="D89" s="211"/>
      <c r="E89" s="208"/>
      <c r="F89" s="212"/>
      <c r="G89" s="213"/>
      <c r="I89" s="205" t="str">
        <f t="shared" ref="I89:I106" si="1404">$B89</f>
        <v>Zestiende finale</v>
      </c>
      <c r="J89" s="207"/>
      <c r="K89" s="207"/>
      <c r="L89" s="208"/>
      <c r="M89" s="236"/>
      <c r="N89" s="237"/>
      <c r="O89" s="209"/>
      <c r="P89" s="220"/>
      <c r="Q89" s="220"/>
      <c r="R89" s="208"/>
      <c r="S89" s="208"/>
      <c r="T89" s="221"/>
      <c r="V89" s="205" t="str">
        <f t="shared" ref="V89:V106" si="1405">$B89</f>
        <v>Zestiende finale</v>
      </c>
      <c r="W89" s="207"/>
      <c r="X89" s="207"/>
      <c r="Y89" s="208"/>
      <c r="Z89" s="236"/>
      <c r="AA89" s="237"/>
      <c r="AB89" s="209"/>
      <c r="AC89" s="220"/>
      <c r="AD89" s="220"/>
      <c r="AE89" s="208"/>
      <c r="AF89" s="208"/>
      <c r="AG89" s="221"/>
      <c r="AI89" s="205" t="str">
        <f t="shared" ref="AI89:AI106" si="1406">$B89</f>
        <v>Zestiende finale</v>
      </c>
      <c r="AJ89" s="207"/>
      <c r="AK89" s="207"/>
      <c r="AL89" s="208"/>
      <c r="AM89" s="236"/>
      <c r="AN89" s="237"/>
      <c r="AO89" s="209"/>
      <c r="AP89" s="220"/>
      <c r="AQ89" s="220"/>
      <c r="AR89" s="208"/>
      <c r="AS89" s="208"/>
      <c r="AT89" s="221"/>
      <c r="AV89" s="205" t="str">
        <f t="shared" ref="AV89:AV106" si="1407">$B89</f>
        <v>Zestiende finale</v>
      </c>
      <c r="AW89" s="207"/>
      <c r="AX89" s="207"/>
      <c r="AY89" s="208"/>
      <c r="AZ89" s="236"/>
      <c r="BA89" s="237"/>
      <c r="BB89" s="209"/>
      <c r="BC89" s="220"/>
      <c r="BD89" s="220"/>
      <c r="BE89" s="208"/>
      <c r="BF89" s="208"/>
      <c r="BG89" s="221"/>
      <c r="BI89" s="205" t="str">
        <f t="shared" ref="BI89:BI106" si="1408">$B89</f>
        <v>Zestiende finale</v>
      </c>
      <c r="BJ89" s="207"/>
      <c r="BK89" s="207"/>
      <c r="BL89" s="208"/>
      <c r="BM89" s="236"/>
      <c r="BN89" s="237"/>
      <c r="BO89" s="209"/>
      <c r="BP89" s="220"/>
      <c r="BQ89" s="220"/>
      <c r="BR89" s="208"/>
      <c r="BS89" s="208"/>
      <c r="BT89" s="221"/>
      <c r="BV89" s="205" t="str">
        <f t="shared" ref="BV89:BV106" si="1409">$B89</f>
        <v>Zestiende finale</v>
      </c>
      <c r="BW89" s="207"/>
      <c r="BX89" s="207"/>
      <c r="BY89" s="208"/>
      <c r="BZ89" s="236"/>
      <c r="CA89" s="237"/>
      <c r="CB89" s="209"/>
      <c r="CC89" s="220"/>
      <c r="CD89" s="220"/>
      <c r="CE89" s="208"/>
      <c r="CF89" s="208"/>
      <c r="CG89" s="221"/>
      <c r="CI89" s="205" t="str">
        <f t="shared" ref="CI89:CI106" si="1410">$B89</f>
        <v>Zestiende finale</v>
      </c>
      <c r="CJ89" s="207"/>
      <c r="CK89" s="207"/>
      <c r="CL89" s="208"/>
      <c r="CM89" s="236"/>
      <c r="CN89" s="237"/>
      <c r="CO89" s="209"/>
      <c r="CP89" s="220"/>
      <c r="CQ89" s="220"/>
      <c r="CR89" s="208"/>
      <c r="CS89" s="208"/>
      <c r="CT89" s="221"/>
      <c r="CV89" s="205" t="str">
        <f t="shared" ref="CV89:CV106" si="1411">$B89</f>
        <v>Zestiende finale</v>
      </c>
      <c r="CW89" s="207"/>
      <c r="CX89" s="207"/>
      <c r="CY89" s="208"/>
      <c r="CZ89" s="236"/>
      <c r="DA89" s="237"/>
      <c r="DB89" s="209"/>
      <c r="DC89" s="220"/>
      <c r="DD89" s="220"/>
      <c r="DE89" s="208"/>
      <c r="DF89" s="208"/>
      <c r="DG89" s="221"/>
      <c r="DI89" s="205" t="str">
        <f t="shared" ref="DI89:DI106" si="1412">$B89</f>
        <v>Zestiende finale</v>
      </c>
      <c r="DJ89" s="207"/>
      <c r="DK89" s="207"/>
      <c r="DL89" s="208"/>
      <c r="DM89" s="236"/>
      <c r="DN89" s="237"/>
      <c r="DO89" s="209"/>
      <c r="DP89" s="220"/>
      <c r="DQ89" s="220"/>
      <c r="DR89" s="208"/>
      <c r="DS89" s="208"/>
      <c r="DT89" s="221"/>
      <c r="DV89" s="205" t="str">
        <f t="shared" ref="DV89:DV106" si="1413">$B89</f>
        <v>Zestiende finale</v>
      </c>
      <c r="DW89" s="207"/>
      <c r="DX89" s="207"/>
      <c r="DY89" s="208"/>
      <c r="DZ89" s="236"/>
      <c r="EA89" s="237"/>
      <c r="EB89" s="209"/>
      <c r="EC89" s="220"/>
      <c r="ED89" s="220"/>
      <c r="EE89" s="208"/>
      <c r="EF89" s="208"/>
      <c r="EG89" s="221"/>
      <c r="EI89" s="205" t="str">
        <f t="shared" ref="EI89:EI106" si="1414">$B89</f>
        <v>Zestiende finale</v>
      </c>
      <c r="EJ89" s="207"/>
      <c r="EK89" s="207"/>
      <c r="EL89" s="208"/>
      <c r="EM89" s="236"/>
      <c r="EN89" s="237"/>
      <c r="EO89" s="209"/>
      <c r="EP89" s="220"/>
      <c r="EQ89" s="220"/>
      <c r="ER89" s="208"/>
      <c r="ES89" s="208"/>
      <c r="ET89" s="221"/>
      <c r="EV89" s="205" t="str">
        <f t="shared" ref="EV89:EV106" si="1415">$B89</f>
        <v>Zestiende finale</v>
      </c>
      <c r="EW89" s="207"/>
      <c r="EX89" s="207"/>
      <c r="EY89" s="208"/>
      <c r="EZ89" s="236"/>
      <c r="FA89" s="237"/>
      <c r="FB89" s="209"/>
      <c r="FC89" s="220"/>
      <c r="FD89" s="220"/>
      <c r="FE89" s="208"/>
      <c r="FF89" s="208"/>
      <c r="FG89" s="221"/>
      <c r="FI89" s="205" t="str">
        <f t="shared" ref="FI89:FI106" si="1416">$B89</f>
        <v>Zestiende finale</v>
      </c>
      <c r="FJ89" s="207"/>
      <c r="FK89" s="207"/>
      <c r="FL89" s="208"/>
      <c r="FM89" s="236"/>
      <c r="FN89" s="237"/>
      <c r="FO89" s="209"/>
      <c r="FP89" s="220"/>
      <c r="FQ89" s="220"/>
      <c r="FR89" s="208"/>
      <c r="FS89" s="208"/>
      <c r="FT89" s="221"/>
      <c r="FV89" s="205" t="str">
        <f t="shared" ref="FV89:FV106" si="1417">$B89</f>
        <v>Zestiende finale</v>
      </c>
      <c r="FW89" s="207"/>
      <c r="FX89" s="207"/>
      <c r="FY89" s="208"/>
      <c r="FZ89" s="236"/>
      <c r="GA89" s="237"/>
      <c r="GB89" s="209"/>
      <c r="GC89" s="220"/>
      <c r="GD89" s="220"/>
      <c r="GE89" s="208"/>
      <c r="GF89" s="208"/>
      <c r="GG89" s="221"/>
      <c r="GI89" s="205" t="str">
        <f t="shared" ref="GI89:GI106" si="1418">$B89</f>
        <v>Zestiende finale</v>
      </c>
      <c r="GJ89" s="207"/>
      <c r="GK89" s="207"/>
      <c r="GL89" s="208"/>
      <c r="GM89" s="236"/>
      <c r="GN89" s="237"/>
      <c r="GO89" s="209"/>
      <c r="GP89" s="220"/>
      <c r="GQ89" s="220"/>
      <c r="GR89" s="208"/>
      <c r="GS89" s="208"/>
      <c r="GT89" s="221"/>
      <c r="GV89" s="205" t="str">
        <f t="shared" ref="GV89:GV106" si="1419">$B89</f>
        <v>Zestiende finale</v>
      </c>
      <c r="GW89" s="207"/>
      <c r="GX89" s="207"/>
      <c r="GY89" s="208"/>
      <c r="GZ89" s="236"/>
      <c r="HA89" s="237"/>
      <c r="HB89" s="209"/>
      <c r="HC89" s="220"/>
      <c r="HD89" s="220"/>
      <c r="HE89" s="208"/>
      <c r="HF89" s="208"/>
      <c r="HG89" s="221"/>
      <c r="HI89" s="205" t="str">
        <f t="shared" ref="HI89:HI106" si="1420">$B89</f>
        <v>Zestiende finale</v>
      </c>
      <c r="HJ89" s="207"/>
      <c r="HK89" s="207"/>
      <c r="HL89" s="208"/>
      <c r="HM89" s="236"/>
      <c r="HN89" s="237"/>
      <c r="HO89" s="209"/>
      <c r="HP89" s="220"/>
      <c r="HQ89" s="220"/>
      <c r="HR89" s="208"/>
      <c r="HS89" s="208"/>
      <c r="HT89" s="221"/>
      <c r="HV89" s="205" t="str">
        <f t="shared" ref="HV89:HV106" si="1421">$B89</f>
        <v>Zestiende finale</v>
      </c>
      <c r="HW89" s="207"/>
      <c r="HX89" s="207"/>
      <c r="HY89" s="208"/>
      <c r="HZ89" s="236"/>
      <c r="IA89" s="237"/>
      <c r="IB89" s="209"/>
      <c r="IC89" s="220"/>
      <c r="ID89" s="220"/>
      <c r="IE89" s="208"/>
      <c r="IF89" s="208"/>
      <c r="IG89" s="221"/>
      <c r="II89" s="205" t="str">
        <f t="shared" ref="II89:II106" si="1422">$B89</f>
        <v>Zestiende finale</v>
      </c>
      <c r="IJ89" s="207"/>
      <c r="IK89" s="207"/>
      <c r="IL89" s="208"/>
      <c r="IM89" s="236"/>
      <c r="IN89" s="237"/>
      <c r="IO89" s="209"/>
      <c r="IP89" s="220"/>
      <c r="IQ89" s="220"/>
      <c r="IR89" s="208"/>
      <c r="IS89" s="208"/>
      <c r="IT89" s="221"/>
      <c r="IV89" s="205" t="str">
        <f t="shared" ref="IV89:IV106" si="1423">$B89</f>
        <v>Zestiende finale</v>
      </c>
      <c r="IW89" s="207"/>
      <c r="IX89" s="207"/>
      <c r="IY89" s="208"/>
      <c r="IZ89" s="236"/>
      <c r="JA89" s="237"/>
      <c r="JB89" s="209"/>
      <c r="JC89" s="220"/>
      <c r="JD89" s="220"/>
      <c r="JE89" s="208"/>
      <c r="JF89" s="208"/>
      <c r="JG89" s="221"/>
      <c r="JI89" s="205" t="str">
        <f t="shared" ref="JI89:JI106" si="1424">$B89</f>
        <v>Zestiende finale</v>
      </c>
      <c r="JJ89" s="207"/>
      <c r="JK89" s="207"/>
      <c r="JL89" s="208"/>
      <c r="JM89" s="236"/>
      <c r="JN89" s="237"/>
      <c r="JO89" s="209"/>
      <c r="JP89" s="220"/>
      <c r="JQ89" s="220"/>
      <c r="JR89" s="208"/>
      <c r="JS89" s="208"/>
      <c r="JT89" s="221"/>
      <c r="JV89" s="205" t="str">
        <f t="shared" ref="JV89:JV106" si="1425">$B89</f>
        <v>Zestiende finale</v>
      </c>
      <c r="JW89" s="207"/>
      <c r="JX89" s="207"/>
      <c r="JY89" s="208"/>
      <c r="JZ89" s="236"/>
      <c r="KA89" s="237"/>
      <c r="KB89" s="209"/>
      <c r="KC89" s="220"/>
      <c r="KD89" s="220"/>
      <c r="KE89" s="208"/>
      <c r="KF89" s="208"/>
      <c r="KG89" s="221"/>
      <c r="KI89" s="205" t="str">
        <f t="shared" ref="KI89:KI106" si="1426">$B89</f>
        <v>Zestiende finale</v>
      </c>
      <c r="KJ89" s="207"/>
      <c r="KK89" s="207"/>
      <c r="KL89" s="208"/>
      <c r="KM89" s="236"/>
      <c r="KN89" s="237"/>
      <c r="KO89" s="209"/>
      <c r="KP89" s="220"/>
      <c r="KQ89" s="220"/>
      <c r="KR89" s="208"/>
      <c r="KS89" s="208"/>
      <c r="KT89" s="221"/>
      <c r="KV89" s="205" t="str">
        <f t="shared" ref="KV89:KV106" si="1427">$B89</f>
        <v>Zestiende finale</v>
      </c>
      <c r="KW89" s="207"/>
      <c r="KX89" s="207"/>
      <c r="KY89" s="208"/>
      <c r="KZ89" s="236"/>
      <c r="LA89" s="237"/>
      <c r="LB89" s="209"/>
      <c r="LC89" s="220"/>
      <c r="LD89" s="220"/>
      <c r="LE89" s="208"/>
      <c r="LF89" s="208"/>
      <c r="LG89" s="221"/>
      <c r="LI89" s="205" t="str">
        <f t="shared" ref="LI89:LI106" si="1428">$B89</f>
        <v>Zestiende finale</v>
      </c>
      <c r="LJ89" s="207"/>
      <c r="LK89" s="207"/>
      <c r="LL89" s="208"/>
      <c r="LM89" s="236"/>
      <c r="LN89" s="237"/>
      <c r="LO89" s="209"/>
      <c r="LP89" s="220"/>
      <c r="LQ89" s="220"/>
      <c r="LR89" s="208"/>
      <c r="LS89" s="208"/>
      <c r="LT89" s="221"/>
      <c r="LV89" s="205" t="str">
        <f t="shared" ref="LV89:LV106" si="1429">$B89</f>
        <v>Zestiende finale</v>
      </c>
      <c r="LW89" s="207"/>
      <c r="LX89" s="207"/>
      <c r="LY89" s="208"/>
      <c r="LZ89" s="236"/>
      <c r="MA89" s="237"/>
      <c r="MB89" s="209"/>
      <c r="MC89" s="220"/>
      <c r="MD89" s="220"/>
      <c r="ME89" s="208"/>
      <c r="MF89" s="208"/>
      <c r="MG89" s="221"/>
    </row>
    <row r="90" spans="1:345">
      <c r="B90" s="196" t="str">
        <f>IF(C90="","",INDEX(Groups!$C$7:$C$65,MATCH(C90,Groups!$D$7:$D$65,0)))</f>
        <v/>
      </c>
      <c r="C90" s="197" t="str">
        <f>'World Cup'!$B$50</f>
        <v/>
      </c>
      <c r="D90" s="198" t="str">
        <f>IF(E90="","",INDEX(Groups!$C$7:$C$65,MATCH(E90,Groups!$D$7:$D$65,0)))</f>
        <v/>
      </c>
      <c r="E90" s="197" t="str">
        <f>'World Cup'!$C$50</f>
        <v/>
      </c>
      <c r="F90" s="199" t="str">
        <f>IF(AND('World Cup'!$B$51&lt;&gt;"",'World Cup'!$C$51&lt;&gt;""),'World Cup'!$B$51,"")</f>
        <v/>
      </c>
      <c r="G90" s="200" t="str">
        <f>IF(AND('World Cup'!$B$51&lt;&gt;"",'World Cup'!$C$51&lt;&gt;""),'World Cup'!$C$51,"")</f>
        <v/>
      </c>
      <c r="I90" s="196" t="str">
        <f>$B90</f>
        <v/>
      </c>
      <c r="J90" s="197" t="str">
        <f>$C90</f>
        <v/>
      </c>
      <c r="K90" s="198" t="str">
        <f>$D90</f>
        <v/>
      </c>
      <c r="L90" s="197" t="str">
        <f>$E90</f>
        <v/>
      </c>
      <c r="M90" s="232"/>
      <c r="N90" s="232"/>
      <c r="O90" s="310">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0" t="str">
        <f t="shared" ref="T90:T105" si="1431">IF(OR(($C90&lt;&gt;"")*(I90&lt;&gt;""),($E90&lt;&gt;"")*(K90&lt;&gt;"")),($B90=I90)*1+($D90=K90)*1,"")</f>
        <v/>
      </c>
      <c r="V90" s="196" t="str">
        <f>$B90</f>
        <v/>
      </c>
      <c r="W90" s="197" t="str">
        <f>$C90</f>
        <v/>
      </c>
      <c r="X90" s="198" t="str">
        <f>$D90</f>
        <v/>
      </c>
      <c r="Y90" s="197" t="str">
        <f>$E90</f>
        <v/>
      </c>
      <c r="Z90" s="232"/>
      <c r="AA90" s="232"/>
      <c r="AB90" s="310">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0" t="str">
        <f t="shared" ref="AG90:AG105" si="1433">IF(OR(($C90&lt;&gt;"")*(V90&lt;&gt;""),($E90&lt;&gt;"")*(X90&lt;&gt;"")),($B90=V90)*1+($D90=X90)*1,"")</f>
        <v/>
      </c>
      <c r="AI90" s="196" t="str">
        <f>$B90</f>
        <v/>
      </c>
      <c r="AJ90" s="197" t="str">
        <f>$C90</f>
        <v/>
      </c>
      <c r="AK90" s="198" t="str">
        <f>$D90</f>
        <v/>
      </c>
      <c r="AL90" s="197" t="str">
        <f>$E90</f>
        <v/>
      </c>
      <c r="AM90" s="232"/>
      <c r="AN90" s="232"/>
      <c r="AO90" s="310">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0" t="str">
        <f t="shared" ref="AT90:AT105" si="1435">IF(OR(($C90&lt;&gt;"")*(AI90&lt;&gt;""),($E90&lt;&gt;"")*(AK90&lt;&gt;"")),($B90=AI90)*1+($D90=AK90)*1,"")</f>
        <v/>
      </c>
      <c r="AV90" s="196" t="str">
        <f>$B90</f>
        <v/>
      </c>
      <c r="AW90" s="197" t="str">
        <f>$C90</f>
        <v/>
      </c>
      <c r="AX90" s="198" t="str">
        <f>$D90</f>
        <v/>
      </c>
      <c r="AY90" s="197" t="str">
        <f>$E90</f>
        <v/>
      </c>
      <c r="AZ90" s="232"/>
      <c r="BA90" s="232"/>
      <c r="BB90" s="310">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0" t="str">
        <f t="shared" ref="BG90:BG105" si="1437">IF(OR(($C90&lt;&gt;"")*(AV90&lt;&gt;""),($E90&lt;&gt;"")*(AX90&lt;&gt;"")),($B90=AV90)*1+($D90=AX90)*1,"")</f>
        <v/>
      </c>
      <c r="BI90" s="196" t="str">
        <f>$B90</f>
        <v/>
      </c>
      <c r="BJ90" s="197" t="str">
        <f>$C90</f>
        <v/>
      </c>
      <c r="BK90" s="198" t="str">
        <f>$D90</f>
        <v/>
      </c>
      <c r="BL90" s="197" t="str">
        <f>$E90</f>
        <v/>
      </c>
      <c r="BM90" s="232"/>
      <c r="BN90" s="232"/>
      <c r="BO90" s="310">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0" t="str">
        <f t="shared" ref="BT90:BT105" si="1439">IF(OR(($C90&lt;&gt;"")*(BI90&lt;&gt;""),($E90&lt;&gt;"")*(BK90&lt;&gt;"")),($B90=BI90)*1+($D90=BK90)*1,"")</f>
        <v/>
      </c>
      <c r="BV90" s="196" t="str">
        <f>$B90</f>
        <v/>
      </c>
      <c r="BW90" s="197" t="str">
        <f>$C90</f>
        <v/>
      </c>
      <c r="BX90" s="198" t="str">
        <f>$D90</f>
        <v/>
      </c>
      <c r="BY90" s="197" t="str">
        <f>$E90</f>
        <v/>
      </c>
      <c r="BZ90" s="232"/>
      <c r="CA90" s="232"/>
      <c r="CB90" s="310">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0" t="str">
        <f t="shared" ref="CG90:CG105" si="1441">IF(OR(($C90&lt;&gt;"")*(BV90&lt;&gt;""),($E90&lt;&gt;"")*(BX90&lt;&gt;"")),($B90=BV90)*1+($D90=BX90)*1,"")</f>
        <v/>
      </c>
      <c r="CI90" s="196" t="str">
        <f>$B90</f>
        <v/>
      </c>
      <c r="CJ90" s="197" t="str">
        <f>$C90</f>
        <v/>
      </c>
      <c r="CK90" s="198" t="str">
        <f>$D90</f>
        <v/>
      </c>
      <c r="CL90" s="197" t="str">
        <f>$E90</f>
        <v/>
      </c>
      <c r="CM90" s="232"/>
      <c r="CN90" s="232"/>
      <c r="CO90" s="310">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0" t="str">
        <f t="shared" ref="CT90:CT105" si="1443">IF(OR(($C90&lt;&gt;"")*(CI90&lt;&gt;""),($E90&lt;&gt;"")*(CK90&lt;&gt;"")),($B90=CI90)*1+($D90=CK90)*1,"")</f>
        <v/>
      </c>
      <c r="CV90" s="196" t="str">
        <f>$B90</f>
        <v/>
      </c>
      <c r="CW90" s="197" t="str">
        <f>$C90</f>
        <v/>
      </c>
      <c r="CX90" s="198" t="str">
        <f>$D90</f>
        <v/>
      </c>
      <c r="CY90" s="197" t="str">
        <f>$E90</f>
        <v/>
      </c>
      <c r="CZ90" s="232"/>
      <c r="DA90" s="232"/>
      <c r="DB90" s="310">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0" t="str">
        <f t="shared" ref="DG90:DG105" si="1445">IF(OR(($C90&lt;&gt;"")*(CV90&lt;&gt;""),($E90&lt;&gt;"")*(CX90&lt;&gt;"")),($B90=CV90)*1+($D90=CX90)*1,"")</f>
        <v/>
      </c>
      <c r="DI90" s="196" t="str">
        <f>$B90</f>
        <v/>
      </c>
      <c r="DJ90" s="197" t="str">
        <f>$C90</f>
        <v/>
      </c>
      <c r="DK90" s="198" t="str">
        <f>$D90</f>
        <v/>
      </c>
      <c r="DL90" s="197" t="str">
        <f>$E90</f>
        <v/>
      </c>
      <c r="DM90" s="232"/>
      <c r="DN90" s="232"/>
      <c r="DO90" s="310">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0" t="str">
        <f t="shared" ref="DT90:DT105" si="1447">IF(OR(($C90&lt;&gt;"")*(DI90&lt;&gt;""),($E90&lt;&gt;"")*(DK90&lt;&gt;"")),($B90=DI90)*1+($D90=DK90)*1,"")</f>
        <v/>
      </c>
      <c r="DV90" s="196" t="str">
        <f>$B90</f>
        <v/>
      </c>
      <c r="DW90" s="197" t="str">
        <f>$C90</f>
        <v/>
      </c>
      <c r="DX90" s="198" t="str">
        <f>$D90</f>
        <v/>
      </c>
      <c r="DY90" s="197" t="str">
        <f>$E90</f>
        <v/>
      </c>
      <c r="DZ90" s="232"/>
      <c r="EA90" s="232"/>
      <c r="EB90" s="310">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0" t="str">
        <f t="shared" ref="EG90:EG105" si="1449">IF(OR(($C90&lt;&gt;"")*(DV90&lt;&gt;""),($E90&lt;&gt;"")*(DX90&lt;&gt;"")),($B90=DV90)*1+($D90=DX90)*1,"")</f>
        <v/>
      </c>
      <c r="EI90" s="196" t="str">
        <f>$B90</f>
        <v/>
      </c>
      <c r="EJ90" s="197" t="str">
        <f>$C90</f>
        <v/>
      </c>
      <c r="EK90" s="198" t="str">
        <f>$D90</f>
        <v/>
      </c>
      <c r="EL90" s="197" t="str">
        <f>$E90</f>
        <v/>
      </c>
      <c r="EM90" s="232"/>
      <c r="EN90" s="232"/>
      <c r="EO90" s="310">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0" t="str">
        <f t="shared" ref="ET90:ET105" si="1451">IF(OR(($C90&lt;&gt;"")*(EI90&lt;&gt;""),($E90&lt;&gt;"")*(EK90&lt;&gt;"")),($B90=EI90)*1+($D90=EK90)*1,"")</f>
        <v/>
      </c>
      <c r="EV90" s="196" t="str">
        <f>$B90</f>
        <v/>
      </c>
      <c r="EW90" s="197" t="str">
        <f>$C90</f>
        <v/>
      </c>
      <c r="EX90" s="198" t="str">
        <f>$D90</f>
        <v/>
      </c>
      <c r="EY90" s="197" t="str">
        <f>$E90</f>
        <v/>
      </c>
      <c r="EZ90" s="232"/>
      <c r="FA90" s="232"/>
      <c r="FB90" s="310">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0" t="str">
        <f t="shared" ref="FG90:FG105" si="1453">IF(OR(($C90&lt;&gt;"")*(EV90&lt;&gt;""),($E90&lt;&gt;"")*(EX90&lt;&gt;"")),($B90=EV90)*1+($D90=EX90)*1,"")</f>
        <v/>
      </c>
      <c r="FI90" s="196" t="str">
        <f>$B90</f>
        <v/>
      </c>
      <c r="FJ90" s="197" t="str">
        <f>$C90</f>
        <v/>
      </c>
      <c r="FK90" s="198" t="str">
        <f>$D90</f>
        <v/>
      </c>
      <c r="FL90" s="197" t="str">
        <f>$E90</f>
        <v/>
      </c>
      <c r="FM90" s="232"/>
      <c r="FN90" s="232"/>
      <c r="FO90" s="310">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0" t="str">
        <f t="shared" ref="FT90:FT105" si="1455">IF(OR(($C90&lt;&gt;"")*(FI90&lt;&gt;""),($E90&lt;&gt;"")*(FK90&lt;&gt;"")),($B90=FI90)*1+($D90=FK90)*1,"")</f>
        <v/>
      </c>
      <c r="FV90" s="196" t="str">
        <f>$B90</f>
        <v/>
      </c>
      <c r="FW90" s="197" t="str">
        <f>$C90</f>
        <v/>
      </c>
      <c r="FX90" s="198" t="str">
        <f>$D90</f>
        <v/>
      </c>
      <c r="FY90" s="197" t="str">
        <f>$E90</f>
        <v/>
      </c>
      <c r="FZ90" s="232"/>
      <c r="GA90" s="232"/>
      <c r="GB90" s="310">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0" t="str">
        <f t="shared" ref="GG90:GG105" si="1457">IF(OR(($C90&lt;&gt;"")*(FV90&lt;&gt;""),($E90&lt;&gt;"")*(FX90&lt;&gt;"")),($B90=FV90)*1+($D90=FX90)*1,"")</f>
        <v/>
      </c>
      <c r="GI90" s="196" t="str">
        <f>$B90</f>
        <v/>
      </c>
      <c r="GJ90" s="197" t="str">
        <f>$C90</f>
        <v/>
      </c>
      <c r="GK90" s="198" t="str">
        <f>$D90</f>
        <v/>
      </c>
      <c r="GL90" s="197" t="str">
        <f>$E90</f>
        <v/>
      </c>
      <c r="GM90" s="232"/>
      <c r="GN90" s="232"/>
      <c r="GO90" s="310">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0" t="str">
        <f t="shared" ref="GT90:GT105" si="1459">IF(OR(($C90&lt;&gt;"")*(GI90&lt;&gt;""),($E90&lt;&gt;"")*(GK90&lt;&gt;"")),($B90=GI90)*1+($D90=GK90)*1,"")</f>
        <v/>
      </c>
      <c r="GV90" s="196" t="str">
        <f>$B90</f>
        <v/>
      </c>
      <c r="GW90" s="197" t="str">
        <f>$C90</f>
        <v/>
      </c>
      <c r="GX90" s="198" t="str">
        <f>$D90</f>
        <v/>
      </c>
      <c r="GY90" s="197" t="str">
        <f>$E90</f>
        <v/>
      </c>
      <c r="GZ90" s="232"/>
      <c r="HA90" s="232"/>
      <c r="HB90" s="310">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0" t="str">
        <f t="shared" ref="HG90:HG105" si="1461">IF(OR(($C90&lt;&gt;"")*(GV90&lt;&gt;""),($E90&lt;&gt;"")*(GX90&lt;&gt;"")),($B90=GV90)*1+($D90=GX90)*1,"")</f>
        <v/>
      </c>
      <c r="HI90" s="196" t="str">
        <f>$B90</f>
        <v/>
      </c>
      <c r="HJ90" s="197" t="str">
        <f>$C90</f>
        <v/>
      </c>
      <c r="HK90" s="198" t="str">
        <f>$D90</f>
        <v/>
      </c>
      <c r="HL90" s="197" t="str">
        <f>$E90</f>
        <v/>
      </c>
      <c r="HM90" s="232"/>
      <c r="HN90" s="232"/>
      <c r="HO90" s="310">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0" t="str">
        <f t="shared" ref="HT90:HT105" si="1463">IF(OR(($C90&lt;&gt;"")*(HI90&lt;&gt;""),($E90&lt;&gt;"")*(HK90&lt;&gt;"")),($B90=HI90)*1+($D90=HK90)*1,"")</f>
        <v/>
      </c>
      <c r="HV90" s="196" t="str">
        <f>$B90</f>
        <v/>
      </c>
      <c r="HW90" s="197" t="str">
        <f>$C90</f>
        <v/>
      </c>
      <c r="HX90" s="198" t="str">
        <f>$D90</f>
        <v/>
      </c>
      <c r="HY90" s="197" t="str">
        <f>$E90</f>
        <v/>
      </c>
      <c r="HZ90" s="232"/>
      <c r="IA90" s="232"/>
      <c r="IB90" s="310">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0" t="str">
        <f t="shared" ref="IG90:IG105" si="1465">IF(OR(($C90&lt;&gt;"")*(HV90&lt;&gt;""),($E90&lt;&gt;"")*(HX90&lt;&gt;"")),($B90=HV90)*1+($D90=HX90)*1,"")</f>
        <v/>
      </c>
      <c r="II90" s="196" t="str">
        <f>$B90</f>
        <v/>
      </c>
      <c r="IJ90" s="197" t="str">
        <f>$C90</f>
        <v/>
      </c>
      <c r="IK90" s="198" t="str">
        <f>$D90</f>
        <v/>
      </c>
      <c r="IL90" s="197" t="str">
        <f>$E90</f>
        <v/>
      </c>
      <c r="IM90" s="232"/>
      <c r="IN90" s="232"/>
      <c r="IO90" s="310">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0" t="str">
        <f t="shared" ref="IT90:IT105" si="1467">IF(OR(($C90&lt;&gt;"")*(II90&lt;&gt;""),($E90&lt;&gt;"")*(IK90&lt;&gt;"")),($B90=II90)*1+($D90=IK90)*1,"")</f>
        <v/>
      </c>
      <c r="IV90" s="196" t="str">
        <f>$B90</f>
        <v/>
      </c>
      <c r="IW90" s="197" t="str">
        <f>$C90</f>
        <v/>
      </c>
      <c r="IX90" s="198" t="str">
        <f>$D90</f>
        <v/>
      </c>
      <c r="IY90" s="197" t="str">
        <f>$E90</f>
        <v/>
      </c>
      <c r="IZ90" s="232"/>
      <c r="JA90" s="232"/>
      <c r="JB90" s="310">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0" t="str">
        <f t="shared" ref="JG90:JG105" si="1469">IF(OR(($C90&lt;&gt;"")*(IV90&lt;&gt;""),($E90&lt;&gt;"")*(IX90&lt;&gt;"")),($B90=IV90)*1+($D90=IX90)*1,"")</f>
        <v/>
      </c>
      <c r="JI90" s="196" t="str">
        <f>$B90</f>
        <v/>
      </c>
      <c r="JJ90" s="197" t="str">
        <f>$C90</f>
        <v/>
      </c>
      <c r="JK90" s="198" t="str">
        <f>$D90</f>
        <v/>
      </c>
      <c r="JL90" s="197" t="str">
        <f>$E90</f>
        <v/>
      </c>
      <c r="JM90" s="232"/>
      <c r="JN90" s="232"/>
      <c r="JO90" s="310">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0" t="str">
        <f t="shared" ref="JT90:JT105" si="1471">IF(OR(($C90&lt;&gt;"")*(JI90&lt;&gt;""),($E90&lt;&gt;"")*(JK90&lt;&gt;"")),($B90=JI90)*1+($D90=JK90)*1,"")</f>
        <v/>
      </c>
      <c r="JV90" s="196" t="str">
        <f>$B90</f>
        <v/>
      </c>
      <c r="JW90" s="197" t="str">
        <f>$C90</f>
        <v/>
      </c>
      <c r="JX90" s="198" t="str">
        <f>$D90</f>
        <v/>
      </c>
      <c r="JY90" s="197" t="str">
        <f>$E90</f>
        <v/>
      </c>
      <c r="JZ90" s="232"/>
      <c r="KA90" s="232"/>
      <c r="KB90" s="310">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0" t="str">
        <f t="shared" ref="KG90:KG105" si="1473">IF(OR(($C90&lt;&gt;"")*(JV90&lt;&gt;""),($E90&lt;&gt;"")*(JX90&lt;&gt;"")),($B90=JV90)*1+($D90=JX90)*1,"")</f>
        <v/>
      </c>
      <c r="KI90" s="196" t="str">
        <f>$B90</f>
        <v/>
      </c>
      <c r="KJ90" s="197" t="str">
        <f>$C90</f>
        <v/>
      </c>
      <c r="KK90" s="198" t="str">
        <f>$D90</f>
        <v/>
      </c>
      <c r="KL90" s="197" t="str">
        <f>$E90</f>
        <v/>
      </c>
      <c r="KM90" s="232"/>
      <c r="KN90" s="232"/>
      <c r="KO90" s="310">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0" t="str">
        <f t="shared" ref="KT90:KT105" si="1475">IF(OR(($C90&lt;&gt;"")*(KI90&lt;&gt;""),($E90&lt;&gt;"")*(KK90&lt;&gt;"")),($B90=KI90)*1+($D90=KK90)*1,"")</f>
        <v/>
      </c>
      <c r="KV90" s="196" t="str">
        <f>$B90</f>
        <v/>
      </c>
      <c r="KW90" s="197" t="str">
        <f>$C90</f>
        <v/>
      </c>
      <c r="KX90" s="198" t="str">
        <f>$D90</f>
        <v/>
      </c>
      <c r="KY90" s="197" t="str">
        <f>$E90</f>
        <v/>
      </c>
      <c r="KZ90" s="232"/>
      <c r="LA90" s="232"/>
      <c r="LB90" s="310">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0" t="str">
        <f t="shared" ref="LG90:LG105" si="1477">IF(OR(($C90&lt;&gt;"")*(KV90&lt;&gt;""),($E90&lt;&gt;"")*(KX90&lt;&gt;"")),($B90=KV90)*1+($D90=KX90)*1,"")</f>
        <v/>
      </c>
      <c r="LI90" s="196" t="str">
        <f>$B90</f>
        <v/>
      </c>
      <c r="LJ90" s="197" t="str">
        <f>$C90</f>
        <v/>
      </c>
      <c r="LK90" s="198" t="str">
        <f>$D90</f>
        <v/>
      </c>
      <c r="LL90" s="197" t="str">
        <f>$E90</f>
        <v/>
      </c>
      <c r="LM90" s="232"/>
      <c r="LN90" s="232"/>
      <c r="LO90" s="310">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0" t="str">
        <f t="shared" ref="LT90:LT105" si="1479">IF(OR(($C90&lt;&gt;"")*(LI90&lt;&gt;""),($E90&lt;&gt;"")*(LK90&lt;&gt;"")),($B90=LI90)*1+($D90=LK90)*1,"")</f>
        <v/>
      </c>
      <c r="LV90" s="196" t="str">
        <f>$B90</f>
        <v/>
      </c>
      <c r="LW90" s="197" t="str">
        <f>$C90</f>
        <v/>
      </c>
      <c r="LX90" s="198" t="str">
        <f>$D90</f>
        <v/>
      </c>
      <c r="LY90" s="197" t="str">
        <f>$E90</f>
        <v/>
      </c>
      <c r="LZ90" s="232"/>
      <c r="MA90" s="232"/>
      <c r="MB90" s="310">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0" t="str">
        <f t="shared" ref="MG90:MG105" si="1481">IF(OR(($C90&lt;&gt;"")*(LV90&lt;&gt;""),($E90&lt;&gt;"")*(LX90&lt;&gt;"")),($B90=LV90)*1+($D90=LX90)*1,"")</f>
        <v/>
      </c>
    </row>
    <row r="91" spans="1:345">
      <c r="B91" s="196" t="str">
        <f>IF(C91="","",INDEX(Groups!$C$7:$C$65,MATCH(C91,Groups!$D$7:$D$65,0)))</f>
        <v/>
      </c>
      <c r="C91" s="197" t="str">
        <f>'World Cup'!$E$50</f>
        <v/>
      </c>
      <c r="D91" s="198" t="str">
        <f>IF(E91="","",INDEX(Groups!$C$7:$C$65,MATCH(E91,Groups!$D$7:$D$65,0)))</f>
        <v/>
      </c>
      <c r="E91" s="197" t="str">
        <f>'World Cup'!$F$50</f>
        <v/>
      </c>
      <c r="F91" s="199" t="str">
        <f>IF(AND('World Cup'!$E$51&lt;&gt;"",'World Cup'!$F$51&lt;&gt;""),'World Cup'!$E$51,"")</f>
        <v/>
      </c>
      <c r="G91" s="200" t="str">
        <f>IF(AND('World Cup'!$E$51&lt;&gt;"",'World Cup'!$F$51&lt;&gt;""),'World Cup'!$F$51,"")</f>
        <v/>
      </c>
      <c r="I91" s="196" t="str">
        <f t="shared" ref="I91:I105" si="1482">$B91</f>
        <v/>
      </c>
      <c r="J91" s="197" t="str">
        <f t="shared" ref="J91:J105" si="1483">$C91</f>
        <v/>
      </c>
      <c r="K91" s="198" t="str">
        <f t="shared" ref="K91:K105" si="1484">$D91</f>
        <v/>
      </c>
      <c r="L91" s="197" t="str">
        <f t="shared" ref="L91:L105" si="1485">$E91</f>
        <v/>
      </c>
      <c r="M91" s="232"/>
      <c r="N91" s="232"/>
      <c r="O91" s="309">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0" t="str">
        <f t="shared" si="1431"/>
        <v/>
      </c>
      <c r="V91" s="196" t="str">
        <f t="shared" ref="V91:V105" si="1487">$B91</f>
        <v/>
      </c>
      <c r="W91" s="197" t="str">
        <f t="shared" ref="W91:W105" si="1488">$C91</f>
        <v/>
      </c>
      <c r="X91" s="198" t="str">
        <f t="shared" ref="X91:X105" si="1489">$D91</f>
        <v/>
      </c>
      <c r="Y91" s="197" t="str">
        <f t="shared" ref="Y91:Y105" si="1490">$E91</f>
        <v/>
      </c>
      <c r="Z91" s="232"/>
      <c r="AA91" s="232"/>
      <c r="AB91" s="309">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0" t="str">
        <f t="shared" si="1433"/>
        <v/>
      </c>
      <c r="AI91" s="196" t="str">
        <f t="shared" ref="AI91:AI105" si="1492">$B91</f>
        <v/>
      </c>
      <c r="AJ91" s="197" t="str">
        <f t="shared" ref="AJ91:AJ105" si="1493">$C91</f>
        <v/>
      </c>
      <c r="AK91" s="198" t="str">
        <f t="shared" ref="AK91:AK105" si="1494">$D91</f>
        <v/>
      </c>
      <c r="AL91" s="197" t="str">
        <f t="shared" ref="AL91:AL105" si="1495">$E91</f>
        <v/>
      </c>
      <c r="AM91" s="232"/>
      <c r="AN91" s="232"/>
      <c r="AO91" s="309">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0" t="str">
        <f t="shared" si="1435"/>
        <v/>
      </c>
      <c r="AV91" s="196" t="str">
        <f t="shared" ref="AV91:AV105" si="1497">$B91</f>
        <v/>
      </c>
      <c r="AW91" s="197" t="str">
        <f t="shared" ref="AW91:AW105" si="1498">$C91</f>
        <v/>
      </c>
      <c r="AX91" s="198" t="str">
        <f t="shared" ref="AX91:AX105" si="1499">$D91</f>
        <v/>
      </c>
      <c r="AY91" s="197" t="str">
        <f t="shared" ref="AY91:AY105" si="1500">$E91</f>
        <v/>
      </c>
      <c r="AZ91" s="232"/>
      <c r="BA91" s="232"/>
      <c r="BB91" s="309">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0" t="str">
        <f t="shared" si="1437"/>
        <v/>
      </c>
      <c r="BI91" s="196" t="str">
        <f t="shared" ref="BI91:BI105" si="1502">$B91</f>
        <v/>
      </c>
      <c r="BJ91" s="197" t="str">
        <f t="shared" ref="BJ91:BJ105" si="1503">$C91</f>
        <v/>
      </c>
      <c r="BK91" s="198" t="str">
        <f t="shared" ref="BK91:BK105" si="1504">$D91</f>
        <v/>
      </c>
      <c r="BL91" s="197" t="str">
        <f t="shared" ref="BL91:BL105" si="1505">$E91</f>
        <v/>
      </c>
      <c r="BM91" s="232"/>
      <c r="BN91" s="232"/>
      <c r="BO91" s="309">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0" t="str">
        <f t="shared" si="1439"/>
        <v/>
      </c>
      <c r="BV91" s="196" t="str">
        <f t="shared" ref="BV91:BV105" si="1507">$B91</f>
        <v/>
      </c>
      <c r="BW91" s="197" t="str">
        <f t="shared" ref="BW91:BW105" si="1508">$C91</f>
        <v/>
      </c>
      <c r="BX91" s="198" t="str">
        <f t="shared" ref="BX91:BX105" si="1509">$D91</f>
        <v/>
      </c>
      <c r="BY91" s="197" t="str">
        <f t="shared" ref="BY91:BY105" si="1510">$E91</f>
        <v/>
      </c>
      <c r="BZ91" s="232"/>
      <c r="CA91" s="232"/>
      <c r="CB91" s="309">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0" t="str">
        <f t="shared" si="1441"/>
        <v/>
      </c>
      <c r="CI91" s="196" t="str">
        <f t="shared" ref="CI91:CI105" si="1512">$B91</f>
        <v/>
      </c>
      <c r="CJ91" s="197" t="str">
        <f t="shared" ref="CJ91:CJ105" si="1513">$C91</f>
        <v/>
      </c>
      <c r="CK91" s="198" t="str">
        <f t="shared" ref="CK91:CK105" si="1514">$D91</f>
        <v/>
      </c>
      <c r="CL91" s="197" t="str">
        <f t="shared" ref="CL91:CL105" si="1515">$E91</f>
        <v/>
      </c>
      <c r="CM91" s="232"/>
      <c r="CN91" s="232"/>
      <c r="CO91" s="309">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0" t="str">
        <f t="shared" si="1443"/>
        <v/>
      </c>
      <c r="CV91" s="196" t="str">
        <f t="shared" ref="CV91:CV105" si="1517">$B91</f>
        <v/>
      </c>
      <c r="CW91" s="197" t="str">
        <f t="shared" ref="CW91:CW105" si="1518">$C91</f>
        <v/>
      </c>
      <c r="CX91" s="198" t="str">
        <f t="shared" ref="CX91:CX105" si="1519">$D91</f>
        <v/>
      </c>
      <c r="CY91" s="197" t="str">
        <f t="shared" ref="CY91:CY105" si="1520">$E91</f>
        <v/>
      </c>
      <c r="CZ91" s="232"/>
      <c r="DA91" s="232"/>
      <c r="DB91" s="309">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0" t="str">
        <f t="shared" si="1445"/>
        <v/>
      </c>
      <c r="DI91" s="196" t="str">
        <f t="shared" ref="DI91:DI105" si="1522">$B91</f>
        <v/>
      </c>
      <c r="DJ91" s="197" t="str">
        <f t="shared" ref="DJ91:DJ105" si="1523">$C91</f>
        <v/>
      </c>
      <c r="DK91" s="198" t="str">
        <f t="shared" ref="DK91:DK105" si="1524">$D91</f>
        <v/>
      </c>
      <c r="DL91" s="197" t="str">
        <f t="shared" ref="DL91:DL105" si="1525">$E91</f>
        <v/>
      </c>
      <c r="DM91" s="232"/>
      <c r="DN91" s="232"/>
      <c r="DO91" s="309">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0" t="str">
        <f t="shared" si="1447"/>
        <v/>
      </c>
      <c r="DV91" s="196" t="str">
        <f t="shared" ref="DV91:DV105" si="1527">$B91</f>
        <v/>
      </c>
      <c r="DW91" s="197" t="str">
        <f t="shared" ref="DW91:DW105" si="1528">$C91</f>
        <v/>
      </c>
      <c r="DX91" s="198" t="str">
        <f t="shared" ref="DX91:DX105" si="1529">$D91</f>
        <v/>
      </c>
      <c r="DY91" s="197" t="str">
        <f t="shared" ref="DY91:DY105" si="1530">$E91</f>
        <v/>
      </c>
      <c r="DZ91" s="232"/>
      <c r="EA91" s="232"/>
      <c r="EB91" s="309">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0" t="str">
        <f t="shared" si="1449"/>
        <v/>
      </c>
      <c r="EI91" s="196" t="str">
        <f t="shared" ref="EI91:EI105" si="1532">$B91</f>
        <v/>
      </c>
      <c r="EJ91" s="197" t="str">
        <f t="shared" ref="EJ91:EJ105" si="1533">$C91</f>
        <v/>
      </c>
      <c r="EK91" s="198" t="str">
        <f t="shared" ref="EK91:EK105" si="1534">$D91</f>
        <v/>
      </c>
      <c r="EL91" s="197" t="str">
        <f t="shared" ref="EL91:EL105" si="1535">$E91</f>
        <v/>
      </c>
      <c r="EM91" s="232"/>
      <c r="EN91" s="232"/>
      <c r="EO91" s="309">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0" t="str">
        <f t="shared" si="1451"/>
        <v/>
      </c>
      <c r="EV91" s="196" t="str">
        <f t="shared" ref="EV91:EV105" si="1537">$B91</f>
        <v/>
      </c>
      <c r="EW91" s="197" t="str">
        <f t="shared" ref="EW91:EW105" si="1538">$C91</f>
        <v/>
      </c>
      <c r="EX91" s="198" t="str">
        <f t="shared" ref="EX91:EX105" si="1539">$D91</f>
        <v/>
      </c>
      <c r="EY91" s="197" t="str">
        <f t="shared" ref="EY91:EY105" si="1540">$E91</f>
        <v/>
      </c>
      <c r="EZ91" s="232"/>
      <c r="FA91" s="232"/>
      <c r="FB91" s="309">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0" t="str">
        <f t="shared" si="1453"/>
        <v/>
      </c>
      <c r="FI91" s="196" t="str">
        <f t="shared" ref="FI91:FI105" si="1542">$B91</f>
        <v/>
      </c>
      <c r="FJ91" s="197" t="str">
        <f t="shared" ref="FJ91:FJ105" si="1543">$C91</f>
        <v/>
      </c>
      <c r="FK91" s="198" t="str">
        <f t="shared" ref="FK91:FK105" si="1544">$D91</f>
        <v/>
      </c>
      <c r="FL91" s="197" t="str">
        <f t="shared" ref="FL91:FL105" si="1545">$E91</f>
        <v/>
      </c>
      <c r="FM91" s="232"/>
      <c r="FN91" s="232"/>
      <c r="FO91" s="309">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0" t="str">
        <f t="shared" si="1455"/>
        <v/>
      </c>
      <c r="FV91" s="196" t="str">
        <f t="shared" ref="FV91:FV105" si="1547">$B91</f>
        <v/>
      </c>
      <c r="FW91" s="197" t="str">
        <f t="shared" ref="FW91:FW105" si="1548">$C91</f>
        <v/>
      </c>
      <c r="FX91" s="198" t="str">
        <f t="shared" ref="FX91:FX105" si="1549">$D91</f>
        <v/>
      </c>
      <c r="FY91" s="197" t="str">
        <f t="shared" ref="FY91:FY105" si="1550">$E91</f>
        <v/>
      </c>
      <c r="FZ91" s="232"/>
      <c r="GA91" s="232"/>
      <c r="GB91" s="309">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0" t="str">
        <f t="shared" si="1457"/>
        <v/>
      </c>
      <c r="GI91" s="196" t="str">
        <f t="shared" ref="GI91:GI105" si="1552">$B91</f>
        <v/>
      </c>
      <c r="GJ91" s="197" t="str">
        <f t="shared" ref="GJ91:GJ105" si="1553">$C91</f>
        <v/>
      </c>
      <c r="GK91" s="198" t="str">
        <f t="shared" ref="GK91:GK105" si="1554">$D91</f>
        <v/>
      </c>
      <c r="GL91" s="197" t="str">
        <f t="shared" ref="GL91:GL105" si="1555">$E91</f>
        <v/>
      </c>
      <c r="GM91" s="232"/>
      <c r="GN91" s="232"/>
      <c r="GO91" s="309">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0" t="str">
        <f t="shared" si="1459"/>
        <v/>
      </c>
      <c r="GV91" s="196" t="str">
        <f t="shared" ref="GV91:GV105" si="1557">$B91</f>
        <v/>
      </c>
      <c r="GW91" s="197" t="str">
        <f t="shared" ref="GW91:GW105" si="1558">$C91</f>
        <v/>
      </c>
      <c r="GX91" s="198" t="str">
        <f t="shared" ref="GX91:GX105" si="1559">$D91</f>
        <v/>
      </c>
      <c r="GY91" s="197" t="str">
        <f t="shared" ref="GY91:GY105" si="1560">$E91</f>
        <v/>
      </c>
      <c r="GZ91" s="232"/>
      <c r="HA91" s="232"/>
      <c r="HB91" s="309">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0" t="str">
        <f t="shared" si="1461"/>
        <v/>
      </c>
      <c r="HI91" s="196" t="str">
        <f t="shared" ref="HI91:HI105" si="1562">$B91</f>
        <v/>
      </c>
      <c r="HJ91" s="197" t="str">
        <f t="shared" ref="HJ91:HJ105" si="1563">$C91</f>
        <v/>
      </c>
      <c r="HK91" s="198" t="str">
        <f t="shared" ref="HK91:HK105" si="1564">$D91</f>
        <v/>
      </c>
      <c r="HL91" s="197" t="str">
        <f t="shared" ref="HL91:HL105" si="1565">$E91</f>
        <v/>
      </c>
      <c r="HM91" s="232"/>
      <c r="HN91" s="232"/>
      <c r="HO91" s="309">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0" t="str">
        <f t="shared" si="1463"/>
        <v/>
      </c>
      <c r="HV91" s="196" t="str">
        <f t="shared" ref="HV91:HV105" si="1567">$B91</f>
        <v/>
      </c>
      <c r="HW91" s="197" t="str">
        <f t="shared" ref="HW91:HW105" si="1568">$C91</f>
        <v/>
      </c>
      <c r="HX91" s="198" t="str">
        <f t="shared" ref="HX91:HX105" si="1569">$D91</f>
        <v/>
      </c>
      <c r="HY91" s="197" t="str">
        <f t="shared" ref="HY91:HY105" si="1570">$E91</f>
        <v/>
      </c>
      <c r="HZ91" s="232"/>
      <c r="IA91" s="232"/>
      <c r="IB91" s="309">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0" t="str">
        <f t="shared" si="1465"/>
        <v/>
      </c>
      <c r="II91" s="196" t="str">
        <f t="shared" ref="II91:II105" si="1572">$B91</f>
        <v/>
      </c>
      <c r="IJ91" s="197" t="str">
        <f t="shared" ref="IJ91:IJ105" si="1573">$C91</f>
        <v/>
      </c>
      <c r="IK91" s="198" t="str">
        <f t="shared" ref="IK91:IK105" si="1574">$D91</f>
        <v/>
      </c>
      <c r="IL91" s="197" t="str">
        <f t="shared" ref="IL91:IL105" si="1575">$E91</f>
        <v/>
      </c>
      <c r="IM91" s="232"/>
      <c r="IN91" s="232"/>
      <c r="IO91" s="309">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0" t="str">
        <f t="shared" si="1467"/>
        <v/>
      </c>
      <c r="IV91" s="196" t="str">
        <f t="shared" ref="IV91:IV105" si="1577">$B91</f>
        <v/>
      </c>
      <c r="IW91" s="197" t="str">
        <f t="shared" ref="IW91:IW105" si="1578">$C91</f>
        <v/>
      </c>
      <c r="IX91" s="198" t="str">
        <f t="shared" ref="IX91:IX105" si="1579">$D91</f>
        <v/>
      </c>
      <c r="IY91" s="197" t="str">
        <f t="shared" ref="IY91:IY105" si="1580">$E91</f>
        <v/>
      </c>
      <c r="IZ91" s="232"/>
      <c r="JA91" s="232"/>
      <c r="JB91" s="309">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0" t="str">
        <f t="shared" si="1469"/>
        <v/>
      </c>
      <c r="JI91" s="196" t="str">
        <f t="shared" ref="JI91:JI105" si="1582">$B91</f>
        <v/>
      </c>
      <c r="JJ91" s="197" t="str">
        <f t="shared" ref="JJ91:JJ105" si="1583">$C91</f>
        <v/>
      </c>
      <c r="JK91" s="198" t="str">
        <f t="shared" ref="JK91:JK105" si="1584">$D91</f>
        <v/>
      </c>
      <c r="JL91" s="197" t="str">
        <f t="shared" ref="JL91:JL105" si="1585">$E91</f>
        <v/>
      </c>
      <c r="JM91" s="232"/>
      <c r="JN91" s="232"/>
      <c r="JO91" s="309">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0" t="str">
        <f t="shared" si="1471"/>
        <v/>
      </c>
      <c r="JV91" s="196" t="str">
        <f t="shared" ref="JV91:JV105" si="1587">$B91</f>
        <v/>
      </c>
      <c r="JW91" s="197" t="str">
        <f t="shared" ref="JW91:JW105" si="1588">$C91</f>
        <v/>
      </c>
      <c r="JX91" s="198" t="str">
        <f t="shared" ref="JX91:JX105" si="1589">$D91</f>
        <v/>
      </c>
      <c r="JY91" s="197" t="str">
        <f t="shared" ref="JY91:JY105" si="1590">$E91</f>
        <v/>
      </c>
      <c r="JZ91" s="232"/>
      <c r="KA91" s="232"/>
      <c r="KB91" s="309">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0" t="str">
        <f t="shared" si="1473"/>
        <v/>
      </c>
      <c r="KI91" s="196" t="str">
        <f t="shared" ref="KI91:KI105" si="1592">$B91</f>
        <v/>
      </c>
      <c r="KJ91" s="197" t="str">
        <f t="shared" ref="KJ91:KJ105" si="1593">$C91</f>
        <v/>
      </c>
      <c r="KK91" s="198" t="str">
        <f t="shared" ref="KK91:KK105" si="1594">$D91</f>
        <v/>
      </c>
      <c r="KL91" s="197" t="str">
        <f t="shared" ref="KL91:KL105" si="1595">$E91</f>
        <v/>
      </c>
      <c r="KM91" s="232"/>
      <c r="KN91" s="232"/>
      <c r="KO91" s="309">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0" t="str">
        <f t="shared" si="1475"/>
        <v/>
      </c>
      <c r="KV91" s="196" t="str">
        <f t="shared" ref="KV91:KV105" si="1597">$B91</f>
        <v/>
      </c>
      <c r="KW91" s="197" t="str">
        <f t="shared" ref="KW91:KW105" si="1598">$C91</f>
        <v/>
      </c>
      <c r="KX91" s="198" t="str">
        <f t="shared" ref="KX91:KX105" si="1599">$D91</f>
        <v/>
      </c>
      <c r="KY91" s="197" t="str">
        <f t="shared" ref="KY91:KY105" si="1600">$E91</f>
        <v/>
      </c>
      <c r="KZ91" s="232"/>
      <c r="LA91" s="232"/>
      <c r="LB91" s="309">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0" t="str">
        <f t="shared" si="1477"/>
        <v/>
      </c>
      <c r="LI91" s="196" t="str">
        <f t="shared" ref="LI91:LI105" si="1602">$B91</f>
        <v/>
      </c>
      <c r="LJ91" s="197" t="str">
        <f t="shared" ref="LJ91:LJ105" si="1603">$C91</f>
        <v/>
      </c>
      <c r="LK91" s="198" t="str">
        <f t="shared" ref="LK91:LK105" si="1604">$D91</f>
        <v/>
      </c>
      <c r="LL91" s="197" t="str">
        <f t="shared" ref="LL91:LL105" si="1605">$E91</f>
        <v/>
      </c>
      <c r="LM91" s="232"/>
      <c r="LN91" s="232"/>
      <c r="LO91" s="309">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0" t="str">
        <f t="shared" si="1479"/>
        <v/>
      </c>
      <c r="LV91" s="196" t="str">
        <f t="shared" ref="LV91:LV105" si="1607">$B91</f>
        <v/>
      </c>
      <c r="LW91" s="197" t="str">
        <f t="shared" ref="LW91:LW105" si="1608">$C91</f>
        <v/>
      </c>
      <c r="LX91" s="198" t="str">
        <f t="shared" ref="LX91:LX105" si="1609">$D91</f>
        <v/>
      </c>
      <c r="LY91" s="197" t="str">
        <f t="shared" ref="LY91:LY105" si="1610">$E91</f>
        <v/>
      </c>
      <c r="LZ91" s="232"/>
      <c r="MA91" s="232"/>
      <c r="MB91" s="309">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0" t="str">
        <f t="shared" si="1481"/>
        <v/>
      </c>
    </row>
    <row r="92" spans="1:345">
      <c r="B92" s="196" t="str">
        <f>IF(C92="","",INDEX(Groups!$C$7:$C$65,MATCH(C92,Groups!$D$7:$D$65,0)))</f>
        <v/>
      </c>
      <c r="C92" s="197" t="str">
        <f>'World Cup'!$H$50</f>
        <v/>
      </c>
      <c r="D92" s="198" t="str">
        <f>IF(E92="","",INDEX(Groups!$C$7:$C$65,MATCH(E92,Groups!$D$7:$D$65,0)))</f>
        <v/>
      </c>
      <c r="E92" s="197" t="str">
        <f>'World Cup'!$I$50</f>
        <v/>
      </c>
      <c r="F92" s="199" t="str">
        <f>IF(AND('World Cup'!$H$51&lt;&gt;"",'World Cup'!$I$51&lt;&gt;""),'World Cup'!$H$51,"")</f>
        <v/>
      </c>
      <c r="G92" s="200" t="str">
        <f>IF(AND('World Cup'!$H$51&lt;&gt;"",'World Cup'!$I$51&lt;&gt;""),'World Cup'!$I$51,"")</f>
        <v/>
      </c>
      <c r="I92" s="196" t="str">
        <f t="shared" si="1482"/>
        <v/>
      </c>
      <c r="J92" s="197" t="str">
        <f t="shared" si="1483"/>
        <v/>
      </c>
      <c r="K92" s="198" t="str">
        <f t="shared" si="1484"/>
        <v/>
      </c>
      <c r="L92" s="197" t="str">
        <f t="shared" si="1485"/>
        <v/>
      </c>
      <c r="M92" s="232"/>
      <c r="N92" s="232"/>
      <c r="O92" s="309">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0" t="str">
        <f t="shared" si="1431"/>
        <v/>
      </c>
      <c r="V92" s="196" t="str">
        <f t="shared" si="1487"/>
        <v/>
      </c>
      <c r="W92" s="197" t="str">
        <f t="shared" si="1488"/>
        <v/>
      </c>
      <c r="X92" s="198" t="str">
        <f t="shared" si="1489"/>
        <v/>
      </c>
      <c r="Y92" s="197" t="str">
        <f t="shared" si="1490"/>
        <v/>
      </c>
      <c r="Z92" s="232"/>
      <c r="AA92" s="232"/>
      <c r="AB92" s="309">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0" t="str">
        <f t="shared" si="1433"/>
        <v/>
      </c>
      <c r="AI92" s="196" t="str">
        <f t="shared" si="1492"/>
        <v/>
      </c>
      <c r="AJ92" s="197" t="str">
        <f t="shared" si="1493"/>
        <v/>
      </c>
      <c r="AK92" s="198" t="str">
        <f t="shared" si="1494"/>
        <v/>
      </c>
      <c r="AL92" s="197" t="str">
        <f t="shared" si="1495"/>
        <v/>
      </c>
      <c r="AM92" s="232"/>
      <c r="AN92" s="232"/>
      <c r="AO92" s="309">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0" t="str">
        <f t="shared" si="1435"/>
        <v/>
      </c>
      <c r="AV92" s="196" t="str">
        <f t="shared" si="1497"/>
        <v/>
      </c>
      <c r="AW92" s="197" t="str">
        <f t="shared" si="1498"/>
        <v/>
      </c>
      <c r="AX92" s="198" t="str">
        <f t="shared" si="1499"/>
        <v/>
      </c>
      <c r="AY92" s="197" t="str">
        <f t="shared" si="1500"/>
        <v/>
      </c>
      <c r="AZ92" s="232"/>
      <c r="BA92" s="232"/>
      <c r="BB92" s="309">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0" t="str">
        <f t="shared" si="1437"/>
        <v/>
      </c>
      <c r="BI92" s="196" t="str">
        <f t="shared" si="1502"/>
        <v/>
      </c>
      <c r="BJ92" s="197" t="str">
        <f t="shared" si="1503"/>
        <v/>
      </c>
      <c r="BK92" s="198" t="str">
        <f t="shared" si="1504"/>
        <v/>
      </c>
      <c r="BL92" s="197" t="str">
        <f t="shared" si="1505"/>
        <v/>
      </c>
      <c r="BM92" s="232"/>
      <c r="BN92" s="232"/>
      <c r="BO92" s="309">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0" t="str">
        <f t="shared" si="1439"/>
        <v/>
      </c>
      <c r="BV92" s="196" t="str">
        <f t="shared" si="1507"/>
        <v/>
      </c>
      <c r="BW92" s="197" t="str">
        <f t="shared" si="1508"/>
        <v/>
      </c>
      <c r="BX92" s="198" t="str">
        <f t="shared" si="1509"/>
        <v/>
      </c>
      <c r="BY92" s="197" t="str">
        <f t="shared" si="1510"/>
        <v/>
      </c>
      <c r="BZ92" s="232"/>
      <c r="CA92" s="232"/>
      <c r="CB92" s="309">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0" t="str">
        <f t="shared" si="1441"/>
        <v/>
      </c>
      <c r="CI92" s="196" t="str">
        <f t="shared" si="1512"/>
        <v/>
      </c>
      <c r="CJ92" s="197" t="str">
        <f t="shared" si="1513"/>
        <v/>
      </c>
      <c r="CK92" s="198" t="str">
        <f t="shared" si="1514"/>
        <v/>
      </c>
      <c r="CL92" s="197" t="str">
        <f t="shared" si="1515"/>
        <v/>
      </c>
      <c r="CM92" s="232"/>
      <c r="CN92" s="232"/>
      <c r="CO92" s="309">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0" t="str">
        <f t="shared" si="1443"/>
        <v/>
      </c>
      <c r="CV92" s="196" t="str">
        <f t="shared" si="1517"/>
        <v/>
      </c>
      <c r="CW92" s="197" t="str">
        <f t="shared" si="1518"/>
        <v/>
      </c>
      <c r="CX92" s="198" t="str">
        <f t="shared" si="1519"/>
        <v/>
      </c>
      <c r="CY92" s="197" t="str">
        <f t="shared" si="1520"/>
        <v/>
      </c>
      <c r="CZ92" s="232"/>
      <c r="DA92" s="232"/>
      <c r="DB92" s="309">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0" t="str">
        <f t="shared" si="1445"/>
        <v/>
      </c>
      <c r="DI92" s="196" t="str">
        <f t="shared" si="1522"/>
        <v/>
      </c>
      <c r="DJ92" s="197" t="str">
        <f t="shared" si="1523"/>
        <v/>
      </c>
      <c r="DK92" s="198" t="str">
        <f t="shared" si="1524"/>
        <v/>
      </c>
      <c r="DL92" s="197" t="str">
        <f t="shared" si="1525"/>
        <v/>
      </c>
      <c r="DM92" s="232"/>
      <c r="DN92" s="232"/>
      <c r="DO92" s="309">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0" t="str">
        <f t="shared" si="1447"/>
        <v/>
      </c>
      <c r="DV92" s="196" t="str">
        <f t="shared" si="1527"/>
        <v/>
      </c>
      <c r="DW92" s="197" t="str">
        <f t="shared" si="1528"/>
        <v/>
      </c>
      <c r="DX92" s="198" t="str">
        <f t="shared" si="1529"/>
        <v/>
      </c>
      <c r="DY92" s="197" t="str">
        <f t="shared" si="1530"/>
        <v/>
      </c>
      <c r="DZ92" s="232"/>
      <c r="EA92" s="232"/>
      <c r="EB92" s="309">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0" t="str">
        <f t="shared" si="1449"/>
        <v/>
      </c>
      <c r="EI92" s="196" t="str">
        <f t="shared" si="1532"/>
        <v/>
      </c>
      <c r="EJ92" s="197" t="str">
        <f t="shared" si="1533"/>
        <v/>
      </c>
      <c r="EK92" s="198" t="str">
        <f t="shared" si="1534"/>
        <v/>
      </c>
      <c r="EL92" s="197" t="str">
        <f t="shared" si="1535"/>
        <v/>
      </c>
      <c r="EM92" s="232"/>
      <c r="EN92" s="232"/>
      <c r="EO92" s="309">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0" t="str">
        <f t="shared" si="1451"/>
        <v/>
      </c>
      <c r="EV92" s="196" t="str">
        <f t="shared" si="1537"/>
        <v/>
      </c>
      <c r="EW92" s="197" t="str">
        <f t="shared" si="1538"/>
        <v/>
      </c>
      <c r="EX92" s="198" t="str">
        <f t="shared" si="1539"/>
        <v/>
      </c>
      <c r="EY92" s="197" t="str">
        <f t="shared" si="1540"/>
        <v/>
      </c>
      <c r="EZ92" s="232"/>
      <c r="FA92" s="232"/>
      <c r="FB92" s="309">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0" t="str">
        <f t="shared" si="1453"/>
        <v/>
      </c>
      <c r="FI92" s="196" t="str">
        <f t="shared" si="1542"/>
        <v/>
      </c>
      <c r="FJ92" s="197" t="str">
        <f t="shared" si="1543"/>
        <v/>
      </c>
      <c r="FK92" s="198" t="str">
        <f t="shared" si="1544"/>
        <v/>
      </c>
      <c r="FL92" s="197" t="str">
        <f t="shared" si="1545"/>
        <v/>
      </c>
      <c r="FM92" s="232"/>
      <c r="FN92" s="232"/>
      <c r="FO92" s="309">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0" t="str">
        <f t="shared" si="1455"/>
        <v/>
      </c>
      <c r="FV92" s="196" t="str">
        <f t="shared" si="1547"/>
        <v/>
      </c>
      <c r="FW92" s="197" t="str">
        <f t="shared" si="1548"/>
        <v/>
      </c>
      <c r="FX92" s="198" t="str">
        <f t="shared" si="1549"/>
        <v/>
      </c>
      <c r="FY92" s="197" t="str">
        <f t="shared" si="1550"/>
        <v/>
      </c>
      <c r="FZ92" s="232"/>
      <c r="GA92" s="232"/>
      <c r="GB92" s="309">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0" t="str">
        <f t="shared" si="1457"/>
        <v/>
      </c>
      <c r="GI92" s="196" t="str">
        <f t="shared" si="1552"/>
        <v/>
      </c>
      <c r="GJ92" s="197" t="str">
        <f t="shared" si="1553"/>
        <v/>
      </c>
      <c r="GK92" s="198" t="str">
        <f t="shared" si="1554"/>
        <v/>
      </c>
      <c r="GL92" s="197" t="str">
        <f t="shared" si="1555"/>
        <v/>
      </c>
      <c r="GM92" s="232"/>
      <c r="GN92" s="232"/>
      <c r="GO92" s="309">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0" t="str">
        <f t="shared" si="1459"/>
        <v/>
      </c>
      <c r="GV92" s="196" t="str">
        <f t="shared" si="1557"/>
        <v/>
      </c>
      <c r="GW92" s="197" t="str">
        <f t="shared" si="1558"/>
        <v/>
      </c>
      <c r="GX92" s="198" t="str">
        <f t="shared" si="1559"/>
        <v/>
      </c>
      <c r="GY92" s="197" t="str">
        <f t="shared" si="1560"/>
        <v/>
      </c>
      <c r="GZ92" s="232"/>
      <c r="HA92" s="232"/>
      <c r="HB92" s="309">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0" t="str">
        <f t="shared" si="1461"/>
        <v/>
      </c>
      <c r="HI92" s="196" t="str">
        <f t="shared" si="1562"/>
        <v/>
      </c>
      <c r="HJ92" s="197" t="str">
        <f t="shared" si="1563"/>
        <v/>
      </c>
      <c r="HK92" s="198" t="str">
        <f t="shared" si="1564"/>
        <v/>
      </c>
      <c r="HL92" s="197" t="str">
        <f t="shared" si="1565"/>
        <v/>
      </c>
      <c r="HM92" s="232"/>
      <c r="HN92" s="232"/>
      <c r="HO92" s="309">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0" t="str">
        <f t="shared" si="1463"/>
        <v/>
      </c>
      <c r="HV92" s="196" t="str">
        <f t="shared" si="1567"/>
        <v/>
      </c>
      <c r="HW92" s="197" t="str">
        <f t="shared" si="1568"/>
        <v/>
      </c>
      <c r="HX92" s="198" t="str">
        <f t="shared" si="1569"/>
        <v/>
      </c>
      <c r="HY92" s="197" t="str">
        <f t="shared" si="1570"/>
        <v/>
      </c>
      <c r="HZ92" s="232"/>
      <c r="IA92" s="232"/>
      <c r="IB92" s="309">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0" t="str">
        <f t="shared" si="1465"/>
        <v/>
      </c>
      <c r="II92" s="196" t="str">
        <f t="shared" si="1572"/>
        <v/>
      </c>
      <c r="IJ92" s="197" t="str">
        <f t="shared" si="1573"/>
        <v/>
      </c>
      <c r="IK92" s="198" t="str">
        <f t="shared" si="1574"/>
        <v/>
      </c>
      <c r="IL92" s="197" t="str">
        <f t="shared" si="1575"/>
        <v/>
      </c>
      <c r="IM92" s="232"/>
      <c r="IN92" s="232"/>
      <c r="IO92" s="309">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0" t="str">
        <f t="shared" si="1467"/>
        <v/>
      </c>
      <c r="IV92" s="196" t="str">
        <f t="shared" si="1577"/>
        <v/>
      </c>
      <c r="IW92" s="197" t="str">
        <f t="shared" si="1578"/>
        <v/>
      </c>
      <c r="IX92" s="198" t="str">
        <f t="shared" si="1579"/>
        <v/>
      </c>
      <c r="IY92" s="197" t="str">
        <f t="shared" si="1580"/>
        <v/>
      </c>
      <c r="IZ92" s="232"/>
      <c r="JA92" s="232"/>
      <c r="JB92" s="309">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0" t="str">
        <f t="shared" si="1469"/>
        <v/>
      </c>
      <c r="JI92" s="196" t="str">
        <f t="shared" si="1582"/>
        <v/>
      </c>
      <c r="JJ92" s="197" t="str">
        <f t="shared" si="1583"/>
        <v/>
      </c>
      <c r="JK92" s="198" t="str">
        <f t="shared" si="1584"/>
        <v/>
      </c>
      <c r="JL92" s="197" t="str">
        <f t="shared" si="1585"/>
        <v/>
      </c>
      <c r="JM92" s="232"/>
      <c r="JN92" s="232"/>
      <c r="JO92" s="309">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0" t="str">
        <f t="shared" si="1471"/>
        <v/>
      </c>
      <c r="JV92" s="196" t="str">
        <f t="shared" si="1587"/>
        <v/>
      </c>
      <c r="JW92" s="197" t="str">
        <f t="shared" si="1588"/>
        <v/>
      </c>
      <c r="JX92" s="198" t="str">
        <f t="shared" si="1589"/>
        <v/>
      </c>
      <c r="JY92" s="197" t="str">
        <f t="shared" si="1590"/>
        <v/>
      </c>
      <c r="JZ92" s="232"/>
      <c r="KA92" s="232"/>
      <c r="KB92" s="309">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0" t="str">
        <f t="shared" si="1473"/>
        <v/>
      </c>
      <c r="KI92" s="196" t="str">
        <f t="shared" si="1592"/>
        <v/>
      </c>
      <c r="KJ92" s="197" t="str">
        <f t="shared" si="1593"/>
        <v/>
      </c>
      <c r="KK92" s="198" t="str">
        <f t="shared" si="1594"/>
        <v/>
      </c>
      <c r="KL92" s="197" t="str">
        <f t="shared" si="1595"/>
        <v/>
      </c>
      <c r="KM92" s="232"/>
      <c r="KN92" s="232"/>
      <c r="KO92" s="309">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0" t="str">
        <f t="shared" si="1475"/>
        <v/>
      </c>
      <c r="KV92" s="196" t="str">
        <f t="shared" si="1597"/>
        <v/>
      </c>
      <c r="KW92" s="197" t="str">
        <f t="shared" si="1598"/>
        <v/>
      </c>
      <c r="KX92" s="198" t="str">
        <f t="shared" si="1599"/>
        <v/>
      </c>
      <c r="KY92" s="197" t="str">
        <f t="shared" si="1600"/>
        <v/>
      </c>
      <c r="KZ92" s="232"/>
      <c r="LA92" s="232"/>
      <c r="LB92" s="309">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0" t="str">
        <f t="shared" si="1477"/>
        <v/>
      </c>
      <c r="LI92" s="196" t="str">
        <f t="shared" si="1602"/>
        <v/>
      </c>
      <c r="LJ92" s="197" t="str">
        <f t="shared" si="1603"/>
        <v/>
      </c>
      <c r="LK92" s="198" t="str">
        <f t="shared" si="1604"/>
        <v/>
      </c>
      <c r="LL92" s="197" t="str">
        <f t="shared" si="1605"/>
        <v/>
      </c>
      <c r="LM92" s="232"/>
      <c r="LN92" s="232"/>
      <c r="LO92" s="309">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0" t="str">
        <f t="shared" si="1479"/>
        <v/>
      </c>
      <c r="LV92" s="196" t="str">
        <f t="shared" si="1607"/>
        <v/>
      </c>
      <c r="LW92" s="197" t="str">
        <f t="shared" si="1608"/>
        <v/>
      </c>
      <c r="LX92" s="198" t="str">
        <f t="shared" si="1609"/>
        <v/>
      </c>
      <c r="LY92" s="197" t="str">
        <f t="shared" si="1610"/>
        <v/>
      </c>
      <c r="LZ92" s="232"/>
      <c r="MA92" s="232"/>
      <c r="MB92" s="309">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0" t="str">
        <f t="shared" si="1481"/>
        <v/>
      </c>
    </row>
    <row r="93" spans="1:345">
      <c r="B93" s="196" t="str">
        <f>IF(C93="","",INDEX(Groups!$C$7:$C$65,MATCH(C93,Groups!$D$7:$D$65,0)))</f>
        <v/>
      </c>
      <c r="C93" s="197" t="str">
        <f>'World Cup'!$K$50</f>
        <v/>
      </c>
      <c r="D93" s="198" t="str">
        <f>IF(E93="","",INDEX(Groups!$C$7:$C$65,MATCH(E93,Groups!$D$7:$D$65,0)))</f>
        <v/>
      </c>
      <c r="E93" s="197" t="str">
        <f>'World Cup'!$L$50</f>
        <v/>
      </c>
      <c r="F93" s="199" t="str">
        <f>IF(AND('World Cup'!$K$51&lt;&gt;"",'World Cup'!$L$51&lt;&gt;""),'World Cup'!$K$51,"")</f>
        <v/>
      </c>
      <c r="G93" s="200" t="str">
        <f>IF(AND('World Cup'!$K$51&lt;&gt;"",'World Cup'!$L$51&lt;&gt;""),'World Cup'!$L$51,"")</f>
        <v/>
      </c>
      <c r="I93" s="196" t="str">
        <f t="shared" si="1482"/>
        <v/>
      </c>
      <c r="J93" s="197" t="str">
        <f t="shared" si="1483"/>
        <v/>
      </c>
      <c r="K93" s="198" t="str">
        <f t="shared" si="1484"/>
        <v/>
      </c>
      <c r="L93" s="197" t="str">
        <f t="shared" si="1485"/>
        <v/>
      </c>
      <c r="M93" s="232"/>
      <c r="N93" s="232"/>
      <c r="O93" s="309">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0" t="str">
        <f t="shared" si="1431"/>
        <v/>
      </c>
      <c r="V93" s="196" t="str">
        <f t="shared" si="1487"/>
        <v/>
      </c>
      <c r="W93" s="197" t="str">
        <f t="shared" si="1488"/>
        <v/>
      </c>
      <c r="X93" s="198" t="str">
        <f t="shared" si="1489"/>
        <v/>
      </c>
      <c r="Y93" s="197" t="str">
        <f t="shared" si="1490"/>
        <v/>
      </c>
      <c r="Z93" s="232"/>
      <c r="AA93" s="232"/>
      <c r="AB93" s="309">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0" t="str">
        <f t="shared" si="1433"/>
        <v/>
      </c>
      <c r="AI93" s="196" t="str">
        <f t="shared" si="1492"/>
        <v/>
      </c>
      <c r="AJ93" s="197" t="str">
        <f t="shared" si="1493"/>
        <v/>
      </c>
      <c r="AK93" s="198" t="str">
        <f t="shared" si="1494"/>
        <v/>
      </c>
      <c r="AL93" s="197" t="str">
        <f t="shared" si="1495"/>
        <v/>
      </c>
      <c r="AM93" s="232"/>
      <c r="AN93" s="232"/>
      <c r="AO93" s="309">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0" t="str">
        <f t="shared" si="1435"/>
        <v/>
      </c>
      <c r="AV93" s="196" t="str">
        <f t="shared" si="1497"/>
        <v/>
      </c>
      <c r="AW93" s="197" t="str">
        <f t="shared" si="1498"/>
        <v/>
      </c>
      <c r="AX93" s="198" t="str">
        <f t="shared" si="1499"/>
        <v/>
      </c>
      <c r="AY93" s="197" t="str">
        <f t="shared" si="1500"/>
        <v/>
      </c>
      <c r="AZ93" s="232"/>
      <c r="BA93" s="232"/>
      <c r="BB93" s="309">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0" t="str">
        <f t="shared" si="1437"/>
        <v/>
      </c>
      <c r="BI93" s="196" t="str">
        <f t="shared" si="1502"/>
        <v/>
      </c>
      <c r="BJ93" s="197" t="str">
        <f t="shared" si="1503"/>
        <v/>
      </c>
      <c r="BK93" s="198" t="str">
        <f t="shared" si="1504"/>
        <v/>
      </c>
      <c r="BL93" s="197" t="str">
        <f t="shared" si="1505"/>
        <v/>
      </c>
      <c r="BM93" s="232"/>
      <c r="BN93" s="232"/>
      <c r="BO93" s="309">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0" t="str">
        <f t="shared" si="1439"/>
        <v/>
      </c>
      <c r="BV93" s="196" t="str">
        <f t="shared" si="1507"/>
        <v/>
      </c>
      <c r="BW93" s="197" t="str">
        <f t="shared" si="1508"/>
        <v/>
      </c>
      <c r="BX93" s="198" t="str">
        <f t="shared" si="1509"/>
        <v/>
      </c>
      <c r="BY93" s="197" t="str">
        <f t="shared" si="1510"/>
        <v/>
      </c>
      <c r="BZ93" s="232"/>
      <c r="CA93" s="232"/>
      <c r="CB93" s="309">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0" t="str">
        <f t="shared" si="1441"/>
        <v/>
      </c>
      <c r="CI93" s="196" t="str">
        <f t="shared" si="1512"/>
        <v/>
      </c>
      <c r="CJ93" s="197" t="str">
        <f t="shared" si="1513"/>
        <v/>
      </c>
      <c r="CK93" s="198" t="str">
        <f t="shared" si="1514"/>
        <v/>
      </c>
      <c r="CL93" s="197" t="str">
        <f t="shared" si="1515"/>
        <v/>
      </c>
      <c r="CM93" s="232"/>
      <c r="CN93" s="232"/>
      <c r="CO93" s="309">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0" t="str">
        <f t="shared" si="1443"/>
        <v/>
      </c>
      <c r="CV93" s="196" t="str">
        <f t="shared" si="1517"/>
        <v/>
      </c>
      <c r="CW93" s="197" t="str">
        <f t="shared" si="1518"/>
        <v/>
      </c>
      <c r="CX93" s="198" t="str">
        <f t="shared" si="1519"/>
        <v/>
      </c>
      <c r="CY93" s="197" t="str">
        <f t="shared" si="1520"/>
        <v/>
      </c>
      <c r="CZ93" s="232"/>
      <c r="DA93" s="232"/>
      <c r="DB93" s="309">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0" t="str">
        <f t="shared" si="1445"/>
        <v/>
      </c>
      <c r="DI93" s="196" t="str">
        <f t="shared" si="1522"/>
        <v/>
      </c>
      <c r="DJ93" s="197" t="str">
        <f t="shared" si="1523"/>
        <v/>
      </c>
      <c r="DK93" s="198" t="str">
        <f t="shared" si="1524"/>
        <v/>
      </c>
      <c r="DL93" s="197" t="str">
        <f t="shared" si="1525"/>
        <v/>
      </c>
      <c r="DM93" s="232"/>
      <c r="DN93" s="232"/>
      <c r="DO93" s="309">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0" t="str">
        <f t="shared" si="1447"/>
        <v/>
      </c>
      <c r="DV93" s="196" t="str">
        <f t="shared" si="1527"/>
        <v/>
      </c>
      <c r="DW93" s="197" t="str">
        <f t="shared" si="1528"/>
        <v/>
      </c>
      <c r="DX93" s="198" t="str">
        <f t="shared" si="1529"/>
        <v/>
      </c>
      <c r="DY93" s="197" t="str">
        <f t="shared" si="1530"/>
        <v/>
      </c>
      <c r="DZ93" s="232"/>
      <c r="EA93" s="232"/>
      <c r="EB93" s="309">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0" t="str">
        <f t="shared" si="1449"/>
        <v/>
      </c>
      <c r="EI93" s="196" t="str">
        <f t="shared" si="1532"/>
        <v/>
      </c>
      <c r="EJ93" s="197" t="str">
        <f t="shared" si="1533"/>
        <v/>
      </c>
      <c r="EK93" s="198" t="str">
        <f t="shared" si="1534"/>
        <v/>
      </c>
      <c r="EL93" s="197" t="str">
        <f t="shared" si="1535"/>
        <v/>
      </c>
      <c r="EM93" s="232"/>
      <c r="EN93" s="232"/>
      <c r="EO93" s="309">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0" t="str">
        <f t="shared" si="1451"/>
        <v/>
      </c>
      <c r="EV93" s="196" t="str">
        <f t="shared" si="1537"/>
        <v/>
      </c>
      <c r="EW93" s="197" t="str">
        <f t="shared" si="1538"/>
        <v/>
      </c>
      <c r="EX93" s="198" t="str">
        <f t="shared" si="1539"/>
        <v/>
      </c>
      <c r="EY93" s="197" t="str">
        <f t="shared" si="1540"/>
        <v/>
      </c>
      <c r="EZ93" s="232"/>
      <c r="FA93" s="232"/>
      <c r="FB93" s="309">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0" t="str">
        <f t="shared" si="1453"/>
        <v/>
      </c>
      <c r="FI93" s="196" t="str">
        <f t="shared" si="1542"/>
        <v/>
      </c>
      <c r="FJ93" s="197" t="str">
        <f t="shared" si="1543"/>
        <v/>
      </c>
      <c r="FK93" s="198" t="str">
        <f t="shared" si="1544"/>
        <v/>
      </c>
      <c r="FL93" s="197" t="str">
        <f t="shared" si="1545"/>
        <v/>
      </c>
      <c r="FM93" s="232"/>
      <c r="FN93" s="232"/>
      <c r="FO93" s="309">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0" t="str">
        <f t="shared" si="1455"/>
        <v/>
      </c>
      <c r="FV93" s="196" t="str">
        <f t="shared" si="1547"/>
        <v/>
      </c>
      <c r="FW93" s="197" t="str">
        <f t="shared" si="1548"/>
        <v/>
      </c>
      <c r="FX93" s="198" t="str">
        <f t="shared" si="1549"/>
        <v/>
      </c>
      <c r="FY93" s="197" t="str">
        <f t="shared" si="1550"/>
        <v/>
      </c>
      <c r="FZ93" s="232"/>
      <c r="GA93" s="232"/>
      <c r="GB93" s="309">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0" t="str">
        <f t="shared" si="1457"/>
        <v/>
      </c>
      <c r="GI93" s="196" t="str">
        <f t="shared" si="1552"/>
        <v/>
      </c>
      <c r="GJ93" s="197" t="str">
        <f t="shared" si="1553"/>
        <v/>
      </c>
      <c r="GK93" s="198" t="str">
        <f t="shared" si="1554"/>
        <v/>
      </c>
      <c r="GL93" s="197" t="str">
        <f t="shared" si="1555"/>
        <v/>
      </c>
      <c r="GM93" s="232"/>
      <c r="GN93" s="232"/>
      <c r="GO93" s="309">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0" t="str">
        <f t="shared" si="1459"/>
        <v/>
      </c>
      <c r="GV93" s="196" t="str">
        <f t="shared" si="1557"/>
        <v/>
      </c>
      <c r="GW93" s="197" t="str">
        <f t="shared" si="1558"/>
        <v/>
      </c>
      <c r="GX93" s="198" t="str">
        <f t="shared" si="1559"/>
        <v/>
      </c>
      <c r="GY93" s="197" t="str">
        <f t="shared" si="1560"/>
        <v/>
      </c>
      <c r="GZ93" s="232"/>
      <c r="HA93" s="232"/>
      <c r="HB93" s="309">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0" t="str">
        <f t="shared" si="1461"/>
        <v/>
      </c>
      <c r="HI93" s="196" t="str">
        <f t="shared" si="1562"/>
        <v/>
      </c>
      <c r="HJ93" s="197" t="str">
        <f t="shared" si="1563"/>
        <v/>
      </c>
      <c r="HK93" s="198" t="str">
        <f t="shared" si="1564"/>
        <v/>
      </c>
      <c r="HL93" s="197" t="str">
        <f t="shared" si="1565"/>
        <v/>
      </c>
      <c r="HM93" s="232"/>
      <c r="HN93" s="232"/>
      <c r="HO93" s="309">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0" t="str">
        <f t="shared" si="1463"/>
        <v/>
      </c>
      <c r="HV93" s="196" t="str">
        <f t="shared" si="1567"/>
        <v/>
      </c>
      <c r="HW93" s="197" t="str">
        <f t="shared" si="1568"/>
        <v/>
      </c>
      <c r="HX93" s="198" t="str">
        <f t="shared" si="1569"/>
        <v/>
      </c>
      <c r="HY93" s="197" t="str">
        <f t="shared" si="1570"/>
        <v/>
      </c>
      <c r="HZ93" s="232"/>
      <c r="IA93" s="232"/>
      <c r="IB93" s="309">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0" t="str">
        <f t="shared" si="1465"/>
        <v/>
      </c>
      <c r="II93" s="196" t="str">
        <f t="shared" si="1572"/>
        <v/>
      </c>
      <c r="IJ93" s="197" t="str">
        <f t="shared" si="1573"/>
        <v/>
      </c>
      <c r="IK93" s="198" t="str">
        <f t="shared" si="1574"/>
        <v/>
      </c>
      <c r="IL93" s="197" t="str">
        <f t="shared" si="1575"/>
        <v/>
      </c>
      <c r="IM93" s="232"/>
      <c r="IN93" s="232"/>
      <c r="IO93" s="309">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0" t="str">
        <f t="shared" si="1467"/>
        <v/>
      </c>
      <c r="IV93" s="196" t="str">
        <f t="shared" si="1577"/>
        <v/>
      </c>
      <c r="IW93" s="197" t="str">
        <f t="shared" si="1578"/>
        <v/>
      </c>
      <c r="IX93" s="198" t="str">
        <f t="shared" si="1579"/>
        <v/>
      </c>
      <c r="IY93" s="197" t="str">
        <f t="shared" si="1580"/>
        <v/>
      </c>
      <c r="IZ93" s="232"/>
      <c r="JA93" s="232"/>
      <c r="JB93" s="309">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0" t="str">
        <f t="shared" si="1469"/>
        <v/>
      </c>
      <c r="JI93" s="196" t="str">
        <f t="shared" si="1582"/>
        <v/>
      </c>
      <c r="JJ93" s="197" t="str">
        <f t="shared" si="1583"/>
        <v/>
      </c>
      <c r="JK93" s="198" t="str">
        <f t="shared" si="1584"/>
        <v/>
      </c>
      <c r="JL93" s="197" t="str">
        <f t="shared" si="1585"/>
        <v/>
      </c>
      <c r="JM93" s="232"/>
      <c r="JN93" s="232"/>
      <c r="JO93" s="309">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0" t="str">
        <f t="shared" si="1471"/>
        <v/>
      </c>
      <c r="JV93" s="196" t="str">
        <f t="shared" si="1587"/>
        <v/>
      </c>
      <c r="JW93" s="197" t="str">
        <f t="shared" si="1588"/>
        <v/>
      </c>
      <c r="JX93" s="198" t="str">
        <f t="shared" si="1589"/>
        <v/>
      </c>
      <c r="JY93" s="197" t="str">
        <f t="shared" si="1590"/>
        <v/>
      </c>
      <c r="JZ93" s="232"/>
      <c r="KA93" s="232"/>
      <c r="KB93" s="309">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0" t="str">
        <f t="shared" si="1473"/>
        <v/>
      </c>
      <c r="KI93" s="196" t="str">
        <f t="shared" si="1592"/>
        <v/>
      </c>
      <c r="KJ93" s="197" t="str">
        <f t="shared" si="1593"/>
        <v/>
      </c>
      <c r="KK93" s="198" t="str">
        <f t="shared" si="1594"/>
        <v/>
      </c>
      <c r="KL93" s="197" t="str">
        <f t="shared" si="1595"/>
        <v/>
      </c>
      <c r="KM93" s="232"/>
      <c r="KN93" s="232"/>
      <c r="KO93" s="309">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0" t="str">
        <f t="shared" si="1475"/>
        <v/>
      </c>
      <c r="KV93" s="196" t="str">
        <f t="shared" si="1597"/>
        <v/>
      </c>
      <c r="KW93" s="197" t="str">
        <f t="shared" si="1598"/>
        <v/>
      </c>
      <c r="KX93" s="198" t="str">
        <f t="shared" si="1599"/>
        <v/>
      </c>
      <c r="KY93" s="197" t="str">
        <f t="shared" si="1600"/>
        <v/>
      </c>
      <c r="KZ93" s="232"/>
      <c r="LA93" s="232"/>
      <c r="LB93" s="309">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0" t="str">
        <f t="shared" si="1477"/>
        <v/>
      </c>
      <c r="LI93" s="196" t="str">
        <f t="shared" si="1602"/>
        <v/>
      </c>
      <c r="LJ93" s="197" t="str">
        <f t="shared" si="1603"/>
        <v/>
      </c>
      <c r="LK93" s="198" t="str">
        <f t="shared" si="1604"/>
        <v/>
      </c>
      <c r="LL93" s="197" t="str">
        <f t="shared" si="1605"/>
        <v/>
      </c>
      <c r="LM93" s="232"/>
      <c r="LN93" s="232"/>
      <c r="LO93" s="309">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0" t="str">
        <f t="shared" si="1479"/>
        <v/>
      </c>
      <c r="LV93" s="196" t="str">
        <f t="shared" si="1607"/>
        <v/>
      </c>
      <c r="LW93" s="197" t="str">
        <f t="shared" si="1608"/>
        <v/>
      </c>
      <c r="LX93" s="198" t="str">
        <f t="shared" si="1609"/>
        <v/>
      </c>
      <c r="LY93" s="197" t="str">
        <f t="shared" si="1610"/>
        <v/>
      </c>
      <c r="LZ93" s="232"/>
      <c r="MA93" s="232"/>
      <c r="MB93" s="309">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0" t="str">
        <f t="shared" si="1481"/>
        <v/>
      </c>
    </row>
    <row r="94" spans="1:345">
      <c r="B94" s="196" t="str">
        <f>IF(C94="","",INDEX(Groups!$C$7:$C$65,MATCH(C94,Groups!$D$7:$D$65,0)))</f>
        <v/>
      </c>
      <c r="C94" s="197" t="str">
        <f>'World Cup'!$N$50</f>
        <v/>
      </c>
      <c r="D94" s="198" t="str">
        <f>IF(E94="","",INDEX(Groups!$C$7:$C$65,MATCH(E94,Groups!$D$7:$D$65,0)))</f>
        <v/>
      </c>
      <c r="E94" s="197" t="str">
        <f>'World Cup'!$O$50</f>
        <v/>
      </c>
      <c r="F94" s="199" t="str">
        <f>IF(AND('World Cup'!$N$51&lt;&gt;"",'World Cup'!$O$51&lt;&gt;""),'World Cup'!$N$51,"")</f>
        <v/>
      </c>
      <c r="G94" s="200" t="str">
        <f>IF(AND('World Cup'!$N$51&lt;&gt;"",'World Cup'!$O$51&lt;&gt;""),'World Cup'!$O$51,"")</f>
        <v/>
      </c>
      <c r="I94" s="196" t="str">
        <f t="shared" si="1482"/>
        <v/>
      </c>
      <c r="J94" s="197" t="str">
        <f t="shared" si="1483"/>
        <v/>
      </c>
      <c r="K94" s="198" t="str">
        <f t="shared" si="1484"/>
        <v/>
      </c>
      <c r="L94" s="197" t="str">
        <f t="shared" si="1485"/>
        <v/>
      </c>
      <c r="M94" s="232"/>
      <c r="N94" s="232"/>
      <c r="O94" s="309">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0" t="str">
        <f t="shared" si="1431"/>
        <v/>
      </c>
      <c r="V94" s="196" t="str">
        <f t="shared" si="1487"/>
        <v/>
      </c>
      <c r="W94" s="197" t="str">
        <f t="shared" si="1488"/>
        <v/>
      </c>
      <c r="X94" s="198" t="str">
        <f t="shared" si="1489"/>
        <v/>
      </c>
      <c r="Y94" s="197" t="str">
        <f t="shared" si="1490"/>
        <v/>
      </c>
      <c r="Z94" s="232"/>
      <c r="AA94" s="232"/>
      <c r="AB94" s="309">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0" t="str">
        <f t="shared" si="1433"/>
        <v/>
      </c>
      <c r="AI94" s="196" t="str">
        <f t="shared" si="1492"/>
        <v/>
      </c>
      <c r="AJ94" s="197" t="str">
        <f t="shared" si="1493"/>
        <v/>
      </c>
      <c r="AK94" s="198" t="str">
        <f t="shared" si="1494"/>
        <v/>
      </c>
      <c r="AL94" s="197" t="str">
        <f t="shared" si="1495"/>
        <v/>
      </c>
      <c r="AM94" s="232"/>
      <c r="AN94" s="232"/>
      <c r="AO94" s="309">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0" t="str">
        <f t="shared" si="1435"/>
        <v/>
      </c>
      <c r="AV94" s="196" t="str">
        <f t="shared" si="1497"/>
        <v/>
      </c>
      <c r="AW94" s="197" t="str">
        <f t="shared" si="1498"/>
        <v/>
      </c>
      <c r="AX94" s="198" t="str">
        <f t="shared" si="1499"/>
        <v/>
      </c>
      <c r="AY94" s="197" t="str">
        <f t="shared" si="1500"/>
        <v/>
      </c>
      <c r="AZ94" s="232"/>
      <c r="BA94" s="232"/>
      <c r="BB94" s="309">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0" t="str">
        <f t="shared" si="1437"/>
        <v/>
      </c>
      <c r="BI94" s="196" t="str">
        <f t="shared" si="1502"/>
        <v/>
      </c>
      <c r="BJ94" s="197" t="str">
        <f t="shared" si="1503"/>
        <v/>
      </c>
      <c r="BK94" s="198" t="str">
        <f t="shared" si="1504"/>
        <v/>
      </c>
      <c r="BL94" s="197" t="str">
        <f t="shared" si="1505"/>
        <v/>
      </c>
      <c r="BM94" s="232"/>
      <c r="BN94" s="232"/>
      <c r="BO94" s="309">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0" t="str">
        <f t="shared" si="1439"/>
        <v/>
      </c>
      <c r="BV94" s="196" t="str">
        <f t="shared" si="1507"/>
        <v/>
      </c>
      <c r="BW94" s="197" t="str">
        <f t="shared" si="1508"/>
        <v/>
      </c>
      <c r="BX94" s="198" t="str">
        <f t="shared" si="1509"/>
        <v/>
      </c>
      <c r="BY94" s="197" t="str">
        <f t="shared" si="1510"/>
        <v/>
      </c>
      <c r="BZ94" s="232"/>
      <c r="CA94" s="232"/>
      <c r="CB94" s="309">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0" t="str">
        <f t="shared" si="1441"/>
        <v/>
      </c>
      <c r="CI94" s="196" t="str">
        <f t="shared" si="1512"/>
        <v/>
      </c>
      <c r="CJ94" s="197" t="str">
        <f t="shared" si="1513"/>
        <v/>
      </c>
      <c r="CK94" s="198" t="str">
        <f t="shared" si="1514"/>
        <v/>
      </c>
      <c r="CL94" s="197" t="str">
        <f t="shared" si="1515"/>
        <v/>
      </c>
      <c r="CM94" s="232"/>
      <c r="CN94" s="232"/>
      <c r="CO94" s="309">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0" t="str">
        <f t="shared" si="1443"/>
        <v/>
      </c>
      <c r="CV94" s="196" t="str">
        <f t="shared" si="1517"/>
        <v/>
      </c>
      <c r="CW94" s="197" t="str">
        <f t="shared" si="1518"/>
        <v/>
      </c>
      <c r="CX94" s="198" t="str">
        <f t="shared" si="1519"/>
        <v/>
      </c>
      <c r="CY94" s="197" t="str">
        <f t="shared" si="1520"/>
        <v/>
      </c>
      <c r="CZ94" s="232"/>
      <c r="DA94" s="232"/>
      <c r="DB94" s="309">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0" t="str">
        <f t="shared" si="1445"/>
        <v/>
      </c>
      <c r="DI94" s="196" t="str">
        <f t="shared" si="1522"/>
        <v/>
      </c>
      <c r="DJ94" s="197" t="str">
        <f t="shared" si="1523"/>
        <v/>
      </c>
      <c r="DK94" s="198" t="str">
        <f t="shared" si="1524"/>
        <v/>
      </c>
      <c r="DL94" s="197" t="str">
        <f t="shared" si="1525"/>
        <v/>
      </c>
      <c r="DM94" s="232"/>
      <c r="DN94" s="232"/>
      <c r="DO94" s="309">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0" t="str">
        <f t="shared" si="1447"/>
        <v/>
      </c>
      <c r="DV94" s="196" t="str">
        <f t="shared" si="1527"/>
        <v/>
      </c>
      <c r="DW94" s="197" t="str">
        <f t="shared" si="1528"/>
        <v/>
      </c>
      <c r="DX94" s="198" t="str">
        <f t="shared" si="1529"/>
        <v/>
      </c>
      <c r="DY94" s="197" t="str">
        <f t="shared" si="1530"/>
        <v/>
      </c>
      <c r="DZ94" s="232"/>
      <c r="EA94" s="232"/>
      <c r="EB94" s="309">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0" t="str">
        <f t="shared" si="1449"/>
        <v/>
      </c>
      <c r="EI94" s="196" t="str">
        <f t="shared" si="1532"/>
        <v/>
      </c>
      <c r="EJ94" s="197" t="str">
        <f t="shared" si="1533"/>
        <v/>
      </c>
      <c r="EK94" s="198" t="str">
        <f t="shared" si="1534"/>
        <v/>
      </c>
      <c r="EL94" s="197" t="str">
        <f t="shared" si="1535"/>
        <v/>
      </c>
      <c r="EM94" s="232"/>
      <c r="EN94" s="232"/>
      <c r="EO94" s="309">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0" t="str">
        <f t="shared" si="1451"/>
        <v/>
      </c>
      <c r="EV94" s="196" t="str">
        <f t="shared" si="1537"/>
        <v/>
      </c>
      <c r="EW94" s="197" t="str">
        <f t="shared" si="1538"/>
        <v/>
      </c>
      <c r="EX94" s="198" t="str">
        <f t="shared" si="1539"/>
        <v/>
      </c>
      <c r="EY94" s="197" t="str">
        <f t="shared" si="1540"/>
        <v/>
      </c>
      <c r="EZ94" s="232"/>
      <c r="FA94" s="232"/>
      <c r="FB94" s="309">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0" t="str">
        <f t="shared" si="1453"/>
        <v/>
      </c>
      <c r="FI94" s="196" t="str">
        <f t="shared" si="1542"/>
        <v/>
      </c>
      <c r="FJ94" s="197" t="str">
        <f t="shared" si="1543"/>
        <v/>
      </c>
      <c r="FK94" s="198" t="str">
        <f t="shared" si="1544"/>
        <v/>
      </c>
      <c r="FL94" s="197" t="str">
        <f t="shared" si="1545"/>
        <v/>
      </c>
      <c r="FM94" s="232"/>
      <c r="FN94" s="232"/>
      <c r="FO94" s="309">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0" t="str">
        <f t="shared" si="1455"/>
        <v/>
      </c>
      <c r="FV94" s="196" t="str">
        <f t="shared" si="1547"/>
        <v/>
      </c>
      <c r="FW94" s="197" t="str">
        <f t="shared" si="1548"/>
        <v/>
      </c>
      <c r="FX94" s="198" t="str">
        <f t="shared" si="1549"/>
        <v/>
      </c>
      <c r="FY94" s="197" t="str">
        <f t="shared" si="1550"/>
        <v/>
      </c>
      <c r="FZ94" s="232"/>
      <c r="GA94" s="232"/>
      <c r="GB94" s="309">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0" t="str">
        <f t="shared" si="1457"/>
        <v/>
      </c>
      <c r="GI94" s="196" t="str">
        <f t="shared" si="1552"/>
        <v/>
      </c>
      <c r="GJ94" s="197" t="str">
        <f t="shared" si="1553"/>
        <v/>
      </c>
      <c r="GK94" s="198" t="str">
        <f t="shared" si="1554"/>
        <v/>
      </c>
      <c r="GL94" s="197" t="str">
        <f t="shared" si="1555"/>
        <v/>
      </c>
      <c r="GM94" s="232"/>
      <c r="GN94" s="232"/>
      <c r="GO94" s="309">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0" t="str">
        <f t="shared" si="1459"/>
        <v/>
      </c>
      <c r="GV94" s="196" t="str">
        <f t="shared" si="1557"/>
        <v/>
      </c>
      <c r="GW94" s="197" t="str">
        <f t="shared" si="1558"/>
        <v/>
      </c>
      <c r="GX94" s="198" t="str">
        <f t="shared" si="1559"/>
        <v/>
      </c>
      <c r="GY94" s="197" t="str">
        <f t="shared" si="1560"/>
        <v/>
      </c>
      <c r="GZ94" s="232"/>
      <c r="HA94" s="232"/>
      <c r="HB94" s="309">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0" t="str">
        <f t="shared" si="1461"/>
        <v/>
      </c>
      <c r="HI94" s="196" t="str">
        <f t="shared" si="1562"/>
        <v/>
      </c>
      <c r="HJ94" s="197" t="str">
        <f t="shared" si="1563"/>
        <v/>
      </c>
      <c r="HK94" s="198" t="str">
        <f t="shared" si="1564"/>
        <v/>
      </c>
      <c r="HL94" s="197" t="str">
        <f t="shared" si="1565"/>
        <v/>
      </c>
      <c r="HM94" s="232"/>
      <c r="HN94" s="232"/>
      <c r="HO94" s="309">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0" t="str">
        <f t="shared" si="1463"/>
        <v/>
      </c>
      <c r="HV94" s="196" t="str">
        <f t="shared" si="1567"/>
        <v/>
      </c>
      <c r="HW94" s="197" t="str">
        <f t="shared" si="1568"/>
        <v/>
      </c>
      <c r="HX94" s="198" t="str">
        <f t="shared" si="1569"/>
        <v/>
      </c>
      <c r="HY94" s="197" t="str">
        <f t="shared" si="1570"/>
        <v/>
      </c>
      <c r="HZ94" s="232"/>
      <c r="IA94" s="232"/>
      <c r="IB94" s="309">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0" t="str">
        <f t="shared" si="1465"/>
        <v/>
      </c>
      <c r="II94" s="196" t="str">
        <f t="shared" si="1572"/>
        <v/>
      </c>
      <c r="IJ94" s="197" t="str">
        <f t="shared" si="1573"/>
        <v/>
      </c>
      <c r="IK94" s="198" t="str">
        <f t="shared" si="1574"/>
        <v/>
      </c>
      <c r="IL94" s="197" t="str">
        <f t="shared" si="1575"/>
        <v/>
      </c>
      <c r="IM94" s="232"/>
      <c r="IN94" s="232"/>
      <c r="IO94" s="309">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0" t="str">
        <f t="shared" si="1467"/>
        <v/>
      </c>
      <c r="IV94" s="196" t="str">
        <f t="shared" si="1577"/>
        <v/>
      </c>
      <c r="IW94" s="197" t="str">
        <f t="shared" si="1578"/>
        <v/>
      </c>
      <c r="IX94" s="198" t="str">
        <f t="shared" si="1579"/>
        <v/>
      </c>
      <c r="IY94" s="197" t="str">
        <f t="shared" si="1580"/>
        <v/>
      </c>
      <c r="IZ94" s="232"/>
      <c r="JA94" s="232"/>
      <c r="JB94" s="309">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0" t="str">
        <f t="shared" si="1469"/>
        <v/>
      </c>
      <c r="JI94" s="196" t="str">
        <f t="shared" si="1582"/>
        <v/>
      </c>
      <c r="JJ94" s="197" t="str">
        <f t="shared" si="1583"/>
        <v/>
      </c>
      <c r="JK94" s="198" t="str">
        <f t="shared" si="1584"/>
        <v/>
      </c>
      <c r="JL94" s="197" t="str">
        <f t="shared" si="1585"/>
        <v/>
      </c>
      <c r="JM94" s="232"/>
      <c r="JN94" s="232"/>
      <c r="JO94" s="309">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0" t="str">
        <f t="shared" si="1471"/>
        <v/>
      </c>
      <c r="JV94" s="196" t="str">
        <f t="shared" si="1587"/>
        <v/>
      </c>
      <c r="JW94" s="197" t="str">
        <f t="shared" si="1588"/>
        <v/>
      </c>
      <c r="JX94" s="198" t="str">
        <f t="shared" si="1589"/>
        <v/>
      </c>
      <c r="JY94" s="197" t="str">
        <f t="shared" si="1590"/>
        <v/>
      </c>
      <c r="JZ94" s="232"/>
      <c r="KA94" s="232"/>
      <c r="KB94" s="309">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0" t="str">
        <f t="shared" si="1473"/>
        <v/>
      </c>
      <c r="KI94" s="196" t="str">
        <f t="shared" si="1592"/>
        <v/>
      </c>
      <c r="KJ94" s="197" t="str">
        <f t="shared" si="1593"/>
        <v/>
      </c>
      <c r="KK94" s="198" t="str">
        <f t="shared" si="1594"/>
        <v/>
      </c>
      <c r="KL94" s="197" t="str">
        <f t="shared" si="1595"/>
        <v/>
      </c>
      <c r="KM94" s="232"/>
      <c r="KN94" s="232"/>
      <c r="KO94" s="309">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0" t="str">
        <f t="shared" si="1475"/>
        <v/>
      </c>
      <c r="KV94" s="196" t="str">
        <f t="shared" si="1597"/>
        <v/>
      </c>
      <c r="KW94" s="197" t="str">
        <f t="shared" si="1598"/>
        <v/>
      </c>
      <c r="KX94" s="198" t="str">
        <f t="shared" si="1599"/>
        <v/>
      </c>
      <c r="KY94" s="197" t="str">
        <f t="shared" si="1600"/>
        <v/>
      </c>
      <c r="KZ94" s="232"/>
      <c r="LA94" s="232"/>
      <c r="LB94" s="309">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0" t="str">
        <f t="shared" si="1477"/>
        <v/>
      </c>
      <c r="LI94" s="196" t="str">
        <f t="shared" si="1602"/>
        <v/>
      </c>
      <c r="LJ94" s="197" t="str">
        <f t="shared" si="1603"/>
        <v/>
      </c>
      <c r="LK94" s="198" t="str">
        <f t="shared" si="1604"/>
        <v/>
      </c>
      <c r="LL94" s="197" t="str">
        <f t="shared" si="1605"/>
        <v/>
      </c>
      <c r="LM94" s="232"/>
      <c r="LN94" s="232"/>
      <c r="LO94" s="309">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0" t="str">
        <f t="shared" si="1479"/>
        <v/>
      </c>
      <c r="LV94" s="196" t="str">
        <f t="shared" si="1607"/>
        <v/>
      </c>
      <c r="LW94" s="197" t="str">
        <f t="shared" si="1608"/>
        <v/>
      </c>
      <c r="LX94" s="198" t="str">
        <f t="shared" si="1609"/>
        <v/>
      </c>
      <c r="LY94" s="197" t="str">
        <f t="shared" si="1610"/>
        <v/>
      </c>
      <c r="LZ94" s="232"/>
      <c r="MA94" s="232"/>
      <c r="MB94" s="309">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0" t="str">
        <f t="shared" si="1481"/>
        <v/>
      </c>
    </row>
    <row r="95" spans="1:345">
      <c r="B95" s="196" t="str">
        <f>IF(C95="","",INDEX(Groups!$C$7:$C$65,MATCH(C95,Groups!$D$7:$D$65,0)))</f>
        <v/>
      </c>
      <c r="C95" s="197" t="str">
        <f>'World Cup'!$Q$50</f>
        <v/>
      </c>
      <c r="D95" s="198" t="str">
        <f>IF(E95="","",INDEX(Groups!$C$7:$C$65,MATCH(E95,Groups!$D$7:$D$65,0)))</f>
        <v/>
      </c>
      <c r="E95" s="197" t="str">
        <f>'World Cup'!$R$50</f>
        <v/>
      </c>
      <c r="F95" s="199" t="str">
        <f>IF(AND('World Cup'!$Q$51&lt;&gt;"",'World Cup'!$R$51&lt;&gt;""),'World Cup'!$Q$51,"")</f>
        <v/>
      </c>
      <c r="G95" s="200" t="str">
        <f>IF(AND('World Cup'!$Q$51&lt;&gt;"",'World Cup'!$R$51&lt;&gt;""),'World Cup'!$R$51,"")</f>
        <v/>
      </c>
      <c r="I95" s="196" t="str">
        <f t="shared" si="1482"/>
        <v/>
      </c>
      <c r="J95" s="197" t="str">
        <f t="shared" si="1483"/>
        <v/>
      </c>
      <c r="K95" s="198" t="str">
        <f t="shared" si="1484"/>
        <v/>
      </c>
      <c r="L95" s="197" t="str">
        <f t="shared" si="1485"/>
        <v/>
      </c>
      <c r="M95" s="232"/>
      <c r="N95" s="232"/>
      <c r="O95" s="309">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0" t="str">
        <f t="shared" si="1431"/>
        <v/>
      </c>
      <c r="V95" s="196" t="str">
        <f t="shared" si="1487"/>
        <v/>
      </c>
      <c r="W95" s="197" t="str">
        <f t="shared" si="1488"/>
        <v/>
      </c>
      <c r="X95" s="198" t="str">
        <f t="shared" si="1489"/>
        <v/>
      </c>
      <c r="Y95" s="197" t="str">
        <f t="shared" si="1490"/>
        <v/>
      </c>
      <c r="Z95" s="232"/>
      <c r="AA95" s="232"/>
      <c r="AB95" s="309">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0" t="str">
        <f t="shared" si="1433"/>
        <v/>
      </c>
      <c r="AI95" s="196" t="str">
        <f t="shared" si="1492"/>
        <v/>
      </c>
      <c r="AJ95" s="197" t="str">
        <f t="shared" si="1493"/>
        <v/>
      </c>
      <c r="AK95" s="198" t="str">
        <f t="shared" si="1494"/>
        <v/>
      </c>
      <c r="AL95" s="197" t="str">
        <f t="shared" si="1495"/>
        <v/>
      </c>
      <c r="AM95" s="232"/>
      <c r="AN95" s="232"/>
      <c r="AO95" s="309">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0" t="str">
        <f t="shared" si="1435"/>
        <v/>
      </c>
      <c r="AV95" s="196" t="str">
        <f t="shared" si="1497"/>
        <v/>
      </c>
      <c r="AW95" s="197" t="str">
        <f t="shared" si="1498"/>
        <v/>
      </c>
      <c r="AX95" s="198" t="str">
        <f t="shared" si="1499"/>
        <v/>
      </c>
      <c r="AY95" s="197" t="str">
        <f t="shared" si="1500"/>
        <v/>
      </c>
      <c r="AZ95" s="232"/>
      <c r="BA95" s="232"/>
      <c r="BB95" s="309">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0" t="str">
        <f t="shared" si="1437"/>
        <v/>
      </c>
      <c r="BI95" s="196" t="str">
        <f t="shared" si="1502"/>
        <v/>
      </c>
      <c r="BJ95" s="197" t="str">
        <f t="shared" si="1503"/>
        <v/>
      </c>
      <c r="BK95" s="198" t="str">
        <f t="shared" si="1504"/>
        <v/>
      </c>
      <c r="BL95" s="197" t="str">
        <f t="shared" si="1505"/>
        <v/>
      </c>
      <c r="BM95" s="232"/>
      <c r="BN95" s="232"/>
      <c r="BO95" s="309">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0" t="str">
        <f t="shared" si="1439"/>
        <v/>
      </c>
      <c r="BV95" s="196" t="str">
        <f t="shared" si="1507"/>
        <v/>
      </c>
      <c r="BW95" s="197" t="str">
        <f t="shared" si="1508"/>
        <v/>
      </c>
      <c r="BX95" s="198" t="str">
        <f t="shared" si="1509"/>
        <v/>
      </c>
      <c r="BY95" s="197" t="str">
        <f t="shared" si="1510"/>
        <v/>
      </c>
      <c r="BZ95" s="232"/>
      <c r="CA95" s="232"/>
      <c r="CB95" s="309">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0" t="str">
        <f t="shared" si="1441"/>
        <v/>
      </c>
      <c r="CI95" s="196" t="str">
        <f t="shared" si="1512"/>
        <v/>
      </c>
      <c r="CJ95" s="197" t="str">
        <f t="shared" si="1513"/>
        <v/>
      </c>
      <c r="CK95" s="198" t="str">
        <f t="shared" si="1514"/>
        <v/>
      </c>
      <c r="CL95" s="197" t="str">
        <f t="shared" si="1515"/>
        <v/>
      </c>
      <c r="CM95" s="232"/>
      <c r="CN95" s="232"/>
      <c r="CO95" s="309">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0" t="str">
        <f t="shared" si="1443"/>
        <v/>
      </c>
      <c r="CV95" s="196" t="str">
        <f t="shared" si="1517"/>
        <v/>
      </c>
      <c r="CW95" s="197" t="str">
        <f t="shared" si="1518"/>
        <v/>
      </c>
      <c r="CX95" s="198" t="str">
        <f t="shared" si="1519"/>
        <v/>
      </c>
      <c r="CY95" s="197" t="str">
        <f t="shared" si="1520"/>
        <v/>
      </c>
      <c r="CZ95" s="232"/>
      <c r="DA95" s="232"/>
      <c r="DB95" s="309">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0" t="str">
        <f t="shared" si="1445"/>
        <v/>
      </c>
      <c r="DI95" s="196" t="str">
        <f t="shared" si="1522"/>
        <v/>
      </c>
      <c r="DJ95" s="197" t="str">
        <f t="shared" si="1523"/>
        <v/>
      </c>
      <c r="DK95" s="198" t="str">
        <f t="shared" si="1524"/>
        <v/>
      </c>
      <c r="DL95" s="197" t="str">
        <f t="shared" si="1525"/>
        <v/>
      </c>
      <c r="DM95" s="232"/>
      <c r="DN95" s="232"/>
      <c r="DO95" s="309">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0" t="str">
        <f t="shared" si="1447"/>
        <v/>
      </c>
      <c r="DV95" s="196" t="str">
        <f t="shared" si="1527"/>
        <v/>
      </c>
      <c r="DW95" s="197" t="str">
        <f t="shared" si="1528"/>
        <v/>
      </c>
      <c r="DX95" s="198" t="str">
        <f t="shared" si="1529"/>
        <v/>
      </c>
      <c r="DY95" s="197" t="str">
        <f t="shared" si="1530"/>
        <v/>
      </c>
      <c r="DZ95" s="232"/>
      <c r="EA95" s="232"/>
      <c r="EB95" s="309">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0" t="str">
        <f t="shared" si="1449"/>
        <v/>
      </c>
      <c r="EI95" s="196" t="str">
        <f t="shared" si="1532"/>
        <v/>
      </c>
      <c r="EJ95" s="197" t="str">
        <f t="shared" si="1533"/>
        <v/>
      </c>
      <c r="EK95" s="198" t="str">
        <f t="shared" si="1534"/>
        <v/>
      </c>
      <c r="EL95" s="197" t="str">
        <f t="shared" si="1535"/>
        <v/>
      </c>
      <c r="EM95" s="232"/>
      <c r="EN95" s="232"/>
      <c r="EO95" s="309">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0" t="str">
        <f t="shared" si="1451"/>
        <v/>
      </c>
      <c r="EV95" s="196" t="str">
        <f t="shared" si="1537"/>
        <v/>
      </c>
      <c r="EW95" s="197" t="str">
        <f t="shared" si="1538"/>
        <v/>
      </c>
      <c r="EX95" s="198" t="str">
        <f t="shared" si="1539"/>
        <v/>
      </c>
      <c r="EY95" s="197" t="str">
        <f t="shared" si="1540"/>
        <v/>
      </c>
      <c r="EZ95" s="232"/>
      <c r="FA95" s="232"/>
      <c r="FB95" s="309">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0" t="str">
        <f t="shared" si="1453"/>
        <v/>
      </c>
      <c r="FI95" s="196" t="str">
        <f t="shared" si="1542"/>
        <v/>
      </c>
      <c r="FJ95" s="197" t="str">
        <f t="shared" si="1543"/>
        <v/>
      </c>
      <c r="FK95" s="198" t="str">
        <f t="shared" si="1544"/>
        <v/>
      </c>
      <c r="FL95" s="197" t="str">
        <f t="shared" si="1545"/>
        <v/>
      </c>
      <c r="FM95" s="232"/>
      <c r="FN95" s="232"/>
      <c r="FO95" s="309">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0" t="str">
        <f t="shared" si="1455"/>
        <v/>
      </c>
      <c r="FV95" s="196" t="str">
        <f t="shared" si="1547"/>
        <v/>
      </c>
      <c r="FW95" s="197" t="str">
        <f t="shared" si="1548"/>
        <v/>
      </c>
      <c r="FX95" s="198" t="str">
        <f t="shared" si="1549"/>
        <v/>
      </c>
      <c r="FY95" s="197" t="str">
        <f t="shared" si="1550"/>
        <v/>
      </c>
      <c r="FZ95" s="232"/>
      <c r="GA95" s="232"/>
      <c r="GB95" s="309">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0" t="str">
        <f t="shared" si="1457"/>
        <v/>
      </c>
      <c r="GI95" s="196" t="str">
        <f t="shared" si="1552"/>
        <v/>
      </c>
      <c r="GJ95" s="197" t="str">
        <f t="shared" si="1553"/>
        <v/>
      </c>
      <c r="GK95" s="198" t="str">
        <f t="shared" si="1554"/>
        <v/>
      </c>
      <c r="GL95" s="197" t="str">
        <f t="shared" si="1555"/>
        <v/>
      </c>
      <c r="GM95" s="232"/>
      <c r="GN95" s="232"/>
      <c r="GO95" s="309">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0" t="str">
        <f t="shared" si="1459"/>
        <v/>
      </c>
      <c r="GV95" s="196" t="str">
        <f t="shared" si="1557"/>
        <v/>
      </c>
      <c r="GW95" s="197" t="str">
        <f t="shared" si="1558"/>
        <v/>
      </c>
      <c r="GX95" s="198" t="str">
        <f t="shared" si="1559"/>
        <v/>
      </c>
      <c r="GY95" s="197" t="str">
        <f t="shared" si="1560"/>
        <v/>
      </c>
      <c r="GZ95" s="232"/>
      <c r="HA95" s="232"/>
      <c r="HB95" s="309">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0" t="str">
        <f t="shared" si="1461"/>
        <v/>
      </c>
      <c r="HI95" s="196" t="str">
        <f t="shared" si="1562"/>
        <v/>
      </c>
      <c r="HJ95" s="197" t="str">
        <f t="shared" si="1563"/>
        <v/>
      </c>
      <c r="HK95" s="198" t="str">
        <f t="shared" si="1564"/>
        <v/>
      </c>
      <c r="HL95" s="197" t="str">
        <f t="shared" si="1565"/>
        <v/>
      </c>
      <c r="HM95" s="232"/>
      <c r="HN95" s="232"/>
      <c r="HO95" s="309">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0" t="str">
        <f t="shared" si="1463"/>
        <v/>
      </c>
      <c r="HV95" s="196" t="str">
        <f t="shared" si="1567"/>
        <v/>
      </c>
      <c r="HW95" s="197" t="str">
        <f t="shared" si="1568"/>
        <v/>
      </c>
      <c r="HX95" s="198" t="str">
        <f t="shared" si="1569"/>
        <v/>
      </c>
      <c r="HY95" s="197" t="str">
        <f t="shared" si="1570"/>
        <v/>
      </c>
      <c r="HZ95" s="232"/>
      <c r="IA95" s="232"/>
      <c r="IB95" s="309">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0" t="str">
        <f t="shared" si="1465"/>
        <v/>
      </c>
      <c r="II95" s="196" t="str">
        <f t="shared" si="1572"/>
        <v/>
      </c>
      <c r="IJ95" s="197" t="str">
        <f t="shared" si="1573"/>
        <v/>
      </c>
      <c r="IK95" s="198" t="str">
        <f t="shared" si="1574"/>
        <v/>
      </c>
      <c r="IL95" s="197" t="str">
        <f t="shared" si="1575"/>
        <v/>
      </c>
      <c r="IM95" s="232"/>
      <c r="IN95" s="232"/>
      <c r="IO95" s="309">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0" t="str">
        <f t="shared" si="1467"/>
        <v/>
      </c>
      <c r="IV95" s="196" t="str">
        <f t="shared" si="1577"/>
        <v/>
      </c>
      <c r="IW95" s="197" t="str">
        <f t="shared" si="1578"/>
        <v/>
      </c>
      <c r="IX95" s="198" t="str">
        <f t="shared" si="1579"/>
        <v/>
      </c>
      <c r="IY95" s="197" t="str">
        <f t="shared" si="1580"/>
        <v/>
      </c>
      <c r="IZ95" s="232"/>
      <c r="JA95" s="232"/>
      <c r="JB95" s="309">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0" t="str">
        <f t="shared" si="1469"/>
        <v/>
      </c>
      <c r="JI95" s="196" t="str">
        <f t="shared" si="1582"/>
        <v/>
      </c>
      <c r="JJ95" s="197" t="str">
        <f t="shared" si="1583"/>
        <v/>
      </c>
      <c r="JK95" s="198" t="str">
        <f t="shared" si="1584"/>
        <v/>
      </c>
      <c r="JL95" s="197" t="str">
        <f t="shared" si="1585"/>
        <v/>
      </c>
      <c r="JM95" s="232"/>
      <c r="JN95" s="232"/>
      <c r="JO95" s="309">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0" t="str">
        <f t="shared" si="1471"/>
        <v/>
      </c>
      <c r="JV95" s="196" t="str">
        <f t="shared" si="1587"/>
        <v/>
      </c>
      <c r="JW95" s="197" t="str">
        <f t="shared" si="1588"/>
        <v/>
      </c>
      <c r="JX95" s="198" t="str">
        <f t="shared" si="1589"/>
        <v/>
      </c>
      <c r="JY95" s="197" t="str">
        <f t="shared" si="1590"/>
        <v/>
      </c>
      <c r="JZ95" s="232"/>
      <c r="KA95" s="232"/>
      <c r="KB95" s="309">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0" t="str">
        <f t="shared" si="1473"/>
        <v/>
      </c>
      <c r="KI95" s="196" t="str">
        <f t="shared" si="1592"/>
        <v/>
      </c>
      <c r="KJ95" s="197" t="str">
        <f t="shared" si="1593"/>
        <v/>
      </c>
      <c r="KK95" s="198" t="str">
        <f t="shared" si="1594"/>
        <v/>
      </c>
      <c r="KL95" s="197" t="str">
        <f t="shared" si="1595"/>
        <v/>
      </c>
      <c r="KM95" s="232"/>
      <c r="KN95" s="232"/>
      <c r="KO95" s="309">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0" t="str">
        <f t="shared" si="1475"/>
        <v/>
      </c>
      <c r="KV95" s="196" t="str">
        <f t="shared" si="1597"/>
        <v/>
      </c>
      <c r="KW95" s="197" t="str">
        <f t="shared" si="1598"/>
        <v/>
      </c>
      <c r="KX95" s="198" t="str">
        <f t="shared" si="1599"/>
        <v/>
      </c>
      <c r="KY95" s="197" t="str">
        <f t="shared" si="1600"/>
        <v/>
      </c>
      <c r="KZ95" s="232"/>
      <c r="LA95" s="232"/>
      <c r="LB95" s="309">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0" t="str">
        <f t="shared" si="1477"/>
        <v/>
      </c>
      <c r="LI95" s="196" t="str">
        <f t="shared" si="1602"/>
        <v/>
      </c>
      <c r="LJ95" s="197" t="str">
        <f t="shared" si="1603"/>
        <v/>
      </c>
      <c r="LK95" s="198" t="str">
        <f t="shared" si="1604"/>
        <v/>
      </c>
      <c r="LL95" s="197" t="str">
        <f t="shared" si="1605"/>
        <v/>
      </c>
      <c r="LM95" s="232"/>
      <c r="LN95" s="232"/>
      <c r="LO95" s="309">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0" t="str">
        <f t="shared" si="1479"/>
        <v/>
      </c>
      <c r="LV95" s="196" t="str">
        <f t="shared" si="1607"/>
        <v/>
      </c>
      <c r="LW95" s="197" t="str">
        <f t="shared" si="1608"/>
        <v/>
      </c>
      <c r="LX95" s="198" t="str">
        <f t="shared" si="1609"/>
        <v/>
      </c>
      <c r="LY95" s="197" t="str">
        <f t="shared" si="1610"/>
        <v/>
      </c>
      <c r="LZ95" s="232"/>
      <c r="MA95" s="232"/>
      <c r="MB95" s="309">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0" t="str">
        <f t="shared" si="1481"/>
        <v/>
      </c>
    </row>
    <row r="96" spans="1:345">
      <c r="B96" s="196" t="str">
        <f>IF(C96="","",INDEX(Groups!$C$7:$C$65,MATCH(C96,Groups!$D$7:$D$65,0)))</f>
        <v/>
      </c>
      <c r="C96" s="197" t="str">
        <f>'World Cup'!$T$50</f>
        <v/>
      </c>
      <c r="D96" s="198" t="str">
        <f>IF(E96="","",INDEX(Groups!$C$7:$C$65,MATCH(E96,Groups!$D$7:$D$65,0)))</f>
        <v/>
      </c>
      <c r="E96" s="197" t="str">
        <f>'World Cup'!$U$50</f>
        <v/>
      </c>
      <c r="F96" s="199" t="str">
        <f>IF(AND('World Cup'!$T$51&lt;&gt;"",'World Cup'!$U$51&lt;&gt;""),'World Cup'!$T$51,"")</f>
        <v/>
      </c>
      <c r="G96" s="200" t="str">
        <f>IF(AND('World Cup'!$T$51&lt;&gt;"",'World Cup'!$U$51&lt;&gt;""),'World Cup'!$U$51,"")</f>
        <v/>
      </c>
      <c r="I96" s="196" t="str">
        <f t="shared" si="1482"/>
        <v/>
      </c>
      <c r="J96" s="197" t="str">
        <f t="shared" si="1483"/>
        <v/>
      </c>
      <c r="K96" s="198" t="str">
        <f t="shared" si="1484"/>
        <v/>
      </c>
      <c r="L96" s="197" t="str">
        <f t="shared" si="1485"/>
        <v/>
      </c>
      <c r="M96" s="232"/>
      <c r="N96" s="232"/>
      <c r="O96" s="309">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0" t="str">
        <f t="shared" si="1431"/>
        <v/>
      </c>
      <c r="V96" s="196" t="str">
        <f t="shared" si="1487"/>
        <v/>
      </c>
      <c r="W96" s="197" t="str">
        <f t="shared" si="1488"/>
        <v/>
      </c>
      <c r="X96" s="198" t="str">
        <f t="shared" si="1489"/>
        <v/>
      </c>
      <c r="Y96" s="197" t="str">
        <f t="shared" si="1490"/>
        <v/>
      </c>
      <c r="Z96" s="232"/>
      <c r="AA96" s="232"/>
      <c r="AB96" s="309">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0" t="str">
        <f t="shared" si="1433"/>
        <v/>
      </c>
      <c r="AI96" s="196" t="str">
        <f t="shared" si="1492"/>
        <v/>
      </c>
      <c r="AJ96" s="197" t="str">
        <f t="shared" si="1493"/>
        <v/>
      </c>
      <c r="AK96" s="198" t="str">
        <f t="shared" si="1494"/>
        <v/>
      </c>
      <c r="AL96" s="197" t="str">
        <f t="shared" si="1495"/>
        <v/>
      </c>
      <c r="AM96" s="232"/>
      <c r="AN96" s="232"/>
      <c r="AO96" s="309">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0" t="str">
        <f t="shared" si="1435"/>
        <v/>
      </c>
      <c r="AV96" s="196" t="str">
        <f t="shared" si="1497"/>
        <v/>
      </c>
      <c r="AW96" s="197" t="str">
        <f t="shared" si="1498"/>
        <v/>
      </c>
      <c r="AX96" s="198" t="str">
        <f t="shared" si="1499"/>
        <v/>
      </c>
      <c r="AY96" s="197" t="str">
        <f t="shared" si="1500"/>
        <v/>
      </c>
      <c r="AZ96" s="232"/>
      <c r="BA96" s="232"/>
      <c r="BB96" s="309">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0" t="str">
        <f t="shared" si="1437"/>
        <v/>
      </c>
      <c r="BI96" s="196" t="str">
        <f t="shared" si="1502"/>
        <v/>
      </c>
      <c r="BJ96" s="197" t="str">
        <f t="shared" si="1503"/>
        <v/>
      </c>
      <c r="BK96" s="198" t="str">
        <f t="shared" si="1504"/>
        <v/>
      </c>
      <c r="BL96" s="197" t="str">
        <f t="shared" si="1505"/>
        <v/>
      </c>
      <c r="BM96" s="232"/>
      <c r="BN96" s="232"/>
      <c r="BO96" s="309">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0" t="str">
        <f t="shared" si="1439"/>
        <v/>
      </c>
      <c r="BV96" s="196" t="str">
        <f t="shared" si="1507"/>
        <v/>
      </c>
      <c r="BW96" s="197" t="str">
        <f t="shared" si="1508"/>
        <v/>
      </c>
      <c r="BX96" s="198" t="str">
        <f t="shared" si="1509"/>
        <v/>
      </c>
      <c r="BY96" s="197" t="str">
        <f t="shared" si="1510"/>
        <v/>
      </c>
      <c r="BZ96" s="232"/>
      <c r="CA96" s="232"/>
      <c r="CB96" s="309">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0" t="str">
        <f t="shared" si="1441"/>
        <v/>
      </c>
      <c r="CI96" s="196" t="str">
        <f t="shared" si="1512"/>
        <v/>
      </c>
      <c r="CJ96" s="197" t="str">
        <f t="shared" si="1513"/>
        <v/>
      </c>
      <c r="CK96" s="198" t="str">
        <f t="shared" si="1514"/>
        <v/>
      </c>
      <c r="CL96" s="197" t="str">
        <f t="shared" si="1515"/>
        <v/>
      </c>
      <c r="CM96" s="232"/>
      <c r="CN96" s="232"/>
      <c r="CO96" s="309">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0" t="str">
        <f t="shared" si="1443"/>
        <v/>
      </c>
      <c r="CV96" s="196" t="str">
        <f t="shared" si="1517"/>
        <v/>
      </c>
      <c r="CW96" s="197" t="str">
        <f t="shared" si="1518"/>
        <v/>
      </c>
      <c r="CX96" s="198" t="str">
        <f t="shared" si="1519"/>
        <v/>
      </c>
      <c r="CY96" s="197" t="str">
        <f t="shared" si="1520"/>
        <v/>
      </c>
      <c r="CZ96" s="232"/>
      <c r="DA96" s="232"/>
      <c r="DB96" s="309">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0" t="str">
        <f t="shared" si="1445"/>
        <v/>
      </c>
      <c r="DI96" s="196" t="str">
        <f t="shared" si="1522"/>
        <v/>
      </c>
      <c r="DJ96" s="197" t="str">
        <f t="shared" si="1523"/>
        <v/>
      </c>
      <c r="DK96" s="198" t="str">
        <f t="shared" si="1524"/>
        <v/>
      </c>
      <c r="DL96" s="197" t="str">
        <f t="shared" si="1525"/>
        <v/>
      </c>
      <c r="DM96" s="232"/>
      <c r="DN96" s="232"/>
      <c r="DO96" s="309">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0" t="str">
        <f t="shared" si="1447"/>
        <v/>
      </c>
      <c r="DV96" s="196" t="str">
        <f t="shared" si="1527"/>
        <v/>
      </c>
      <c r="DW96" s="197" t="str">
        <f t="shared" si="1528"/>
        <v/>
      </c>
      <c r="DX96" s="198" t="str">
        <f t="shared" si="1529"/>
        <v/>
      </c>
      <c r="DY96" s="197" t="str">
        <f t="shared" si="1530"/>
        <v/>
      </c>
      <c r="DZ96" s="232"/>
      <c r="EA96" s="232"/>
      <c r="EB96" s="309">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0" t="str">
        <f t="shared" si="1449"/>
        <v/>
      </c>
      <c r="EI96" s="196" t="str">
        <f t="shared" si="1532"/>
        <v/>
      </c>
      <c r="EJ96" s="197" t="str">
        <f t="shared" si="1533"/>
        <v/>
      </c>
      <c r="EK96" s="198" t="str">
        <f t="shared" si="1534"/>
        <v/>
      </c>
      <c r="EL96" s="197" t="str">
        <f t="shared" si="1535"/>
        <v/>
      </c>
      <c r="EM96" s="232"/>
      <c r="EN96" s="232"/>
      <c r="EO96" s="309">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0" t="str">
        <f t="shared" si="1451"/>
        <v/>
      </c>
      <c r="EV96" s="196" t="str">
        <f t="shared" si="1537"/>
        <v/>
      </c>
      <c r="EW96" s="197" t="str">
        <f t="shared" si="1538"/>
        <v/>
      </c>
      <c r="EX96" s="198" t="str">
        <f t="shared" si="1539"/>
        <v/>
      </c>
      <c r="EY96" s="197" t="str">
        <f t="shared" si="1540"/>
        <v/>
      </c>
      <c r="EZ96" s="232"/>
      <c r="FA96" s="232"/>
      <c r="FB96" s="309">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0" t="str">
        <f t="shared" si="1453"/>
        <v/>
      </c>
      <c r="FI96" s="196" t="str">
        <f t="shared" si="1542"/>
        <v/>
      </c>
      <c r="FJ96" s="197" t="str">
        <f t="shared" si="1543"/>
        <v/>
      </c>
      <c r="FK96" s="198" t="str">
        <f t="shared" si="1544"/>
        <v/>
      </c>
      <c r="FL96" s="197" t="str">
        <f t="shared" si="1545"/>
        <v/>
      </c>
      <c r="FM96" s="232"/>
      <c r="FN96" s="232"/>
      <c r="FO96" s="309">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0" t="str">
        <f t="shared" si="1455"/>
        <v/>
      </c>
      <c r="FV96" s="196" t="str">
        <f t="shared" si="1547"/>
        <v/>
      </c>
      <c r="FW96" s="197" t="str">
        <f t="shared" si="1548"/>
        <v/>
      </c>
      <c r="FX96" s="198" t="str">
        <f t="shared" si="1549"/>
        <v/>
      </c>
      <c r="FY96" s="197" t="str">
        <f t="shared" si="1550"/>
        <v/>
      </c>
      <c r="FZ96" s="232"/>
      <c r="GA96" s="232"/>
      <c r="GB96" s="309">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0" t="str">
        <f t="shared" si="1457"/>
        <v/>
      </c>
      <c r="GI96" s="196" t="str">
        <f t="shared" si="1552"/>
        <v/>
      </c>
      <c r="GJ96" s="197" t="str">
        <f t="shared" si="1553"/>
        <v/>
      </c>
      <c r="GK96" s="198" t="str">
        <f t="shared" si="1554"/>
        <v/>
      </c>
      <c r="GL96" s="197" t="str">
        <f t="shared" si="1555"/>
        <v/>
      </c>
      <c r="GM96" s="232"/>
      <c r="GN96" s="232"/>
      <c r="GO96" s="309">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0" t="str">
        <f t="shared" si="1459"/>
        <v/>
      </c>
      <c r="GV96" s="196" t="str">
        <f t="shared" si="1557"/>
        <v/>
      </c>
      <c r="GW96" s="197" t="str">
        <f t="shared" si="1558"/>
        <v/>
      </c>
      <c r="GX96" s="198" t="str">
        <f t="shared" si="1559"/>
        <v/>
      </c>
      <c r="GY96" s="197" t="str">
        <f t="shared" si="1560"/>
        <v/>
      </c>
      <c r="GZ96" s="232"/>
      <c r="HA96" s="232"/>
      <c r="HB96" s="309">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0" t="str">
        <f t="shared" si="1461"/>
        <v/>
      </c>
      <c r="HI96" s="196" t="str">
        <f t="shared" si="1562"/>
        <v/>
      </c>
      <c r="HJ96" s="197" t="str">
        <f t="shared" si="1563"/>
        <v/>
      </c>
      <c r="HK96" s="198" t="str">
        <f t="shared" si="1564"/>
        <v/>
      </c>
      <c r="HL96" s="197" t="str">
        <f t="shared" si="1565"/>
        <v/>
      </c>
      <c r="HM96" s="232"/>
      <c r="HN96" s="232"/>
      <c r="HO96" s="309">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0" t="str">
        <f t="shared" si="1463"/>
        <v/>
      </c>
      <c r="HV96" s="196" t="str">
        <f t="shared" si="1567"/>
        <v/>
      </c>
      <c r="HW96" s="197" t="str">
        <f t="shared" si="1568"/>
        <v/>
      </c>
      <c r="HX96" s="198" t="str">
        <f t="shared" si="1569"/>
        <v/>
      </c>
      <c r="HY96" s="197" t="str">
        <f t="shared" si="1570"/>
        <v/>
      </c>
      <c r="HZ96" s="232"/>
      <c r="IA96" s="232"/>
      <c r="IB96" s="309">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0" t="str">
        <f t="shared" si="1465"/>
        <v/>
      </c>
      <c r="II96" s="196" t="str">
        <f t="shared" si="1572"/>
        <v/>
      </c>
      <c r="IJ96" s="197" t="str">
        <f t="shared" si="1573"/>
        <v/>
      </c>
      <c r="IK96" s="198" t="str">
        <f t="shared" si="1574"/>
        <v/>
      </c>
      <c r="IL96" s="197" t="str">
        <f t="shared" si="1575"/>
        <v/>
      </c>
      <c r="IM96" s="232"/>
      <c r="IN96" s="232"/>
      <c r="IO96" s="309">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0" t="str">
        <f t="shared" si="1467"/>
        <v/>
      </c>
      <c r="IV96" s="196" t="str">
        <f t="shared" si="1577"/>
        <v/>
      </c>
      <c r="IW96" s="197" t="str">
        <f t="shared" si="1578"/>
        <v/>
      </c>
      <c r="IX96" s="198" t="str">
        <f t="shared" si="1579"/>
        <v/>
      </c>
      <c r="IY96" s="197" t="str">
        <f t="shared" si="1580"/>
        <v/>
      </c>
      <c r="IZ96" s="232"/>
      <c r="JA96" s="232"/>
      <c r="JB96" s="309">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0" t="str">
        <f t="shared" si="1469"/>
        <v/>
      </c>
      <c r="JI96" s="196" t="str">
        <f t="shared" si="1582"/>
        <v/>
      </c>
      <c r="JJ96" s="197" t="str">
        <f t="shared" si="1583"/>
        <v/>
      </c>
      <c r="JK96" s="198" t="str">
        <f t="shared" si="1584"/>
        <v/>
      </c>
      <c r="JL96" s="197" t="str">
        <f t="shared" si="1585"/>
        <v/>
      </c>
      <c r="JM96" s="232"/>
      <c r="JN96" s="232"/>
      <c r="JO96" s="309">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0" t="str">
        <f t="shared" si="1471"/>
        <v/>
      </c>
      <c r="JV96" s="196" t="str">
        <f t="shared" si="1587"/>
        <v/>
      </c>
      <c r="JW96" s="197" t="str">
        <f t="shared" si="1588"/>
        <v/>
      </c>
      <c r="JX96" s="198" t="str">
        <f t="shared" si="1589"/>
        <v/>
      </c>
      <c r="JY96" s="197" t="str">
        <f t="shared" si="1590"/>
        <v/>
      </c>
      <c r="JZ96" s="232"/>
      <c r="KA96" s="232"/>
      <c r="KB96" s="309">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0" t="str">
        <f t="shared" si="1473"/>
        <v/>
      </c>
      <c r="KI96" s="196" t="str">
        <f t="shared" si="1592"/>
        <v/>
      </c>
      <c r="KJ96" s="197" t="str">
        <f t="shared" si="1593"/>
        <v/>
      </c>
      <c r="KK96" s="198" t="str">
        <f t="shared" si="1594"/>
        <v/>
      </c>
      <c r="KL96" s="197" t="str">
        <f t="shared" si="1595"/>
        <v/>
      </c>
      <c r="KM96" s="232"/>
      <c r="KN96" s="232"/>
      <c r="KO96" s="309">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0" t="str">
        <f t="shared" si="1475"/>
        <v/>
      </c>
      <c r="KV96" s="196" t="str">
        <f t="shared" si="1597"/>
        <v/>
      </c>
      <c r="KW96" s="197" t="str">
        <f t="shared" si="1598"/>
        <v/>
      </c>
      <c r="KX96" s="198" t="str">
        <f t="shared" si="1599"/>
        <v/>
      </c>
      <c r="KY96" s="197" t="str">
        <f t="shared" si="1600"/>
        <v/>
      </c>
      <c r="KZ96" s="232"/>
      <c r="LA96" s="232"/>
      <c r="LB96" s="309">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0" t="str">
        <f t="shared" si="1477"/>
        <v/>
      </c>
      <c r="LI96" s="196" t="str">
        <f t="shared" si="1602"/>
        <v/>
      </c>
      <c r="LJ96" s="197" t="str">
        <f t="shared" si="1603"/>
        <v/>
      </c>
      <c r="LK96" s="198" t="str">
        <f t="shared" si="1604"/>
        <v/>
      </c>
      <c r="LL96" s="197" t="str">
        <f t="shared" si="1605"/>
        <v/>
      </c>
      <c r="LM96" s="232"/>
      <c r="LN96" s="232"/>
      <c r="LO96" s="309">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0" t="str">
        <f t="shared" si="1479"/>
        <v/>
      </c>
      <c r="LV96" s="196" t="str">
        <f t="shared" si="1607"/>
        <v/>
      </c>
      <c r="LW96" s="197" t="str">
        <f t="shared" si="1608"/>
        <v/>
      </c>
      <c r="LX96" s="198" t="str">
        <f t="shared" si="1609"/>
        <v/>
      </c>
      <c r="LY96" s="197" t="str">
        <f t="shared" si="1610"/>
        <v/>
      </c>
      <c r="LZ96" s="232"/>
      <c r="MA96" s="232"/>
      <c r="MB96" s="309">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0" t="str">
        <f t="shared" si="1481"/>
        <v/>
      </c>
    </row>
    <row r="97" spans="1:345">
      <c r="B97" s="196" t="str">
        <f>IF(C97="","",INDEX(Groups!$C$7:$C$65,MATCH(C97,Groups!$D$7:$D$65,0)))</f>
        <v/>
      </c>
      <c r="C97" s="197" t="str">
        <f>'World Cup'!$W$50</f>
        <v/>
      </c>
      <c r="D97" s="198" t="str">
        <f>IF(E97="","",INDEX(Groups!$C$7:$C$65,MATCH(E97,Groups!$D$7:$D$65,0)))</f>
        <v/>
      </c>
      <c r="E97" s="197" t="str">
        <f>'World Cup'!$X$50</f>
        <v/>
      </c>
      <c r="F97" s="199" t="str">
        <f>IF(AND('World Cup'!$W$51&lt;&gt;"",'World Cup'!$X$51&lt;&gt;""),'World Cup'!$W$51,"")</f>
        <v/>
      </c>
      <c r="G97" s="200" t="str">
        <f>IF(AND('World Cup'!$W$51&lt;&gt;"",'World Cup'!$X$51&lt;&gt;""),'World Cup'!$X$51,"")</f>
        <v/>
      </c>
      <c r="I97" s="196" t="str">
        <f t="shared" si="1482"/>
        <v/>
      </c>
      <c r="J97" s="197" t="str">
        <f t="shared" si="1483"/>
        <v/>
      </c>
      <c r="K97" s="198" t="str">
        <f t="shared" si="1484"/>
        <v/>
      </c>
      <c r="L97" s="197" t="str">
        <f t="shared" si="1485"/>
        <v/>
      </c>
      <c r="M97" s="232"/>
      <c r="N97" s="232"/>
      <c r="O97" s="309">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0" t="str">
        <f t="shared" si="1431"/>
        <v/>
      </c>
      <c r="V97" s="196" t="str">
        <f t="shared" si="1487"/>
        <v/>
      </c>
      <c r="W97" s="197" t="str">
        <f t="shared" si="1488"/>
        <v/>
      </c>
      <c r="X97" s="198" t="str">
        <f t="shared" si="1489"/>
        <v/>
      </c>
      <c r="Y97" s="197" t="str">
        <f t="shared" si="1490"/>
        <v/>
      </c>
      <c r="Z97" s="232"/>
      <c r="AA97" s="232"/>
      <c r="AB97" s="309">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0" t="str">
        <f t="shared" si="1433"/>
        <v/>
      </c>
      <c r="AI97" s="196" t="str">
        <f t="shared" si="1492"/>
        <v/>
      </c>
      <c r="AJ97" s="197" t="str">
        <f t="shared" si="1493"/>
        <v/>
      </c>
      <c r="AK97" s="198" t="str">
        <f t="shared" si="1494"/>
        <v/>
      </c>
      <c r="AL97" s="197" t="str">
        <f t="shared" si="1495"/>
        <v/>
      </c>
      <c r="AM97" s="232"/>
      <c r="AN97" s="232"/>
      <c r="AO97" s="309">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0" t="str">
        <f t="shared" si="1435"/>
        <v/>
      </c>
      <c r="AV97" s="196" t="str">
        <f t="shared" si="1497"/>
        <v/>
      </c>
      <c r="AW97" s="197" t="str">
        <f t="shared" si="1498"/>
        <v/>
      </c>
      <c r="AX97" s="198" t="str">
        <f t="shared" si="1499"/>
        <v/>
      </c>
      <c r="AY97" s="197" t="str">
        <f t="shared" si="1500"/>
        <v/>
      </c>
      <c r="AZ97" s="232"/>
      <c r="BA97" s="232"/>
      <c r="BB97" s="309">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0" t="str">
        <f t="shared" si="1437"/>
        <v/>
      </c>
      <c r="BI97" s="196" t="str">
        <f t="shared" si="1502"/>
        <v/>
      </c>
      <c r="BJ97" s="197" t="str">
        <f t="shared" si="1503"/>
        <v/>
      </c>
      <c r="BK97" s="198" t="str">
        <f t="shared" si="1504"/>
        <v/>
      </c>
      <c r="BL97" s="197" t="str">
        <f t="shared" si="1505"/>
        <v/>
      </c>
      <c r="BM97" s="232"/>
      <c r="BN97" s="232"/>
      <c r="BO97" s="309">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0" t="str">
        <f t="shared" si="1439"/>
        <v/>
      </c>
      <c r="BV97" s="196" t="str">
        <f t="shared" si="1507"/>
        <v/>
      </c>
      <c r="BW97" s="197" t="str">
        <f t="shared" si="1508"/>
        <v/>
      </c>
      <c r="BX97" s="198" t="str">
        <f t="shared" si="1509"/>
        <v/>
      </c>
      <c r="BY97" s="197" t="str">
        <f t="shared" si="1510"/>
        <v/>
      </c>
      <c r="BZ97" s="232"/>
      <c r="CA97" s="232"/>
      <c r="CB97" s="309">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0" t="str">
        <f t="shared" si="1441"/>
        <v/>
      </c>
      <c r="CI97" s="196" t="str">
        <f t="shared" si="1512"/>
        <v/>
      </c>
      <c r="CJ97" s="197" t="str">
        <f t="shared" si="1513"/>
        <v/>
      </c>
      <c r="CK97" s="198" t="str">
        <f t="shared" si="1514"/>
        <v/>
      </c>
      <c r="CL97" s="197" t="str">
        <f t="shared" si="1515"/>
        <v/>
      </c>
      <c r="CM97" s="232"/>
      <c r="CN97" s="232"/>
      <c r="CO97" s="309">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0" t="str">
        <f t="shared" si="1443"/>
        <v/>
      </c>
      <c r="CV97" s="196" t="str">
        <f t="shared" si="1517"/>
        <v/>
      </c>
      <c r="CW97" s="197" t="str">
        <f t="shared" si="1518"/>
        <v/>
      </c>
      <c r="CX97" s="198" t="str">
        <f t="shared" si="1519"/>
        <v/>
      </c>
      <c r="CY97" s="197" t="str">
        <f t="shared" si="1520"/>
        <v/>
      </c>
      <c r="CZ97" s="232"/>
      <c r="DA97" s="232"/>
      <c r="DB97" s="309">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0" t="str">
        <f t="shared" si="1445"/>
        <v/>
      </c>
      <c r="DI97" s="196" t="str">
        <f t="shared" si="1522"/>
        <v/>
      </c>
      <c r="DJ97" s="197" t="str">
        <f t="shared" si="1523"/>
        <v/>
      </c>
      <c r="DK97" s="198" t="str">
        <f t="shared" si="1524"/>
        <v/>
      </c>
      <c r="DL97" s="197" t="str">
        <f t="shared" si="1525"/>
        <v/>
      </c>
      <c r="DM97" s="232"/>
      <c r="DN97" s="232"/>
      <c r="DO97" s="309">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0" t="str">
        <f t="shared" si="1447"/>
        <v/>
      </c>
      <c r="DV97" s="196" t="str">
        <f t="shared" si="1527"/>
        <v/>
      </c>
      <c r="DW97" s="197" t="str">
        <f t="shared" si="1528"/>
        <v/>
      </c>
      <c r="DX97" s="198" t="str">
        <f t="shared" si="1529"/>
        <v/>
      </c>
      <c r="DY97" s="197" t="str">
        <f t="shared" si="1530"/>
        <v/>
      </c>
      <c r="DZ97" s="232"/>
      <c r="EA97" s="232"/>
      <c r="EB97" s="309">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0" t="str">
        <f t="shared" si="1449"/>
        <v/>
      </c>
      <c r="EI97" s="196" t="str">
        <f t="shared" si="1532"/>
        <v/>
      </c>
      <c r="EJ97" s="197" t="str">
        <f t="shared" si="1533"/>
        <v/>
      </c>
      <c r="EK97" s="198" t="str">
        <f t="shared" si="1534"/>
        <v/>
      </c>
      <c r="EL97" s="197" t="str">
        <f t="shared" si="1535"/>
        <v/>
      </c>
      <c r="EM97" s="232"/>
      <c r="EN97" s="232"/>
      <c r="EO97" s="309">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0" t="str">
        <f t="shared" si="1451"/>
        <v/>
      </c>
      <c r="EV97" s="196" t="str">
        <f t="shared" si="1537"/>
        <v/>
      </c>
      <c r="EW97" s="197" t="str">
        <f t="shared" si="1538"/>
        <v/>
      </c>
      <c r="EX97" s="198" t="str">
        <f t="shared" si="1539"/>
        <v/>
      </c>
      <c r="EY97" s="197" t="str">
        <f t="shared" si="1540"/>
        <v/>
      </c>
      <c r="EZ97" s="232"/>
      <c r="FA97" s="232"/>
      <c r="FB97" s="309">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0" t="str">
        <f t="shared" si="1453"/>
        <v/>
      </c>
      <c r="FI97" s="196" t="str">
        <f t="shared" si="1542"/>
        <v/>
      </c>
      <c r="FJ97" s="197" t="str">
        <f t="shared" si="1543"/>
        <v/>
      </c>
      <c r="FK97" s="198" t="str">
        <f t="shared" si="1544"/>
        <v/>
      </c>
      <c r="FL97" s="197" t="str">
        <f t="shared" si="1545"/>
        <v/>
      </c>
      <c r="FM97" s="232"/>
      <c r="FN97" s="232"/>
      <c r="FO97" s="309">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0" t="str">
        <f t="shared" si="1455"/>
        <v/>
      </c>
      <c r="FV97" s="196" t="str">
        <f t="shared" si="1547"/>
        <v/>
      </c>
      <c r="FW97" s="197" t="str">
        <f t="shared" si="1548"/>
        <v/>
      </c>
      <c r="FX97" s="198" t="str">
        <f t="shared" si="1549"/>
        <v/>
      </c>
      <c r="FY97" s="197" t="str">
        <f t="shared" si="1550"/>
        <v/>
      </c>
      <c r="FZ97" s="232"/>
      <c r="GA97" s="232"/>
      <c r="GB97" s="309">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0" t="str">
        <f t="shared" si="1457"/>
        <v/>
      </c>
      <c r="GI97" s="196" t="str">
        <f t="shared" si="1552"/>
        <v/>
      </c>
      <c r="GJ97" s="197" t="str">
        <f t="shared" si="1553"/>
        <v/>
      </c>
      <c r="GK97" s="198" t="str">
        <f t="shared" si="1554"/>
        <v/>
      </c>
      <c r="GL97" s="197" t="str">
        <f t="shared" si="1555"/>
        <v/>
      </c>
      <c r="GM97" s="232"/>
      <c r="GN97" s="232"/>
      <c r="GO97" s="309">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0" t="str">
        <f t="shared" si="1459"/>
        <v/>
      </c>
      <c r="GV97" s="196" t="str">
        <f t="shared" si="1557"/>
        <v/>
      </c>
      <c r="GW97" s="197" t="str">
        <f t="shared" si="1558"/>
        <v/>
      </c>
      <c r="GX97" s="198" t="str">
        <f t="shared" si="1559"/>
        <v/>
      </c>
      <c r="GY97" s="197" t="str">
        <f t="shared" si="1560"/>
        <v/>
      </c>
      <c r="GZ97" s="232"/>
      <c r="HA97" s="232"/>
      <c r="HB97" s="309">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0" t="str">
        <f t="shared" si="1461"/>
        <v/>
      </c>
      <c r="HI97" s="196" t="str">
        <f t="shared" si="1562"/>
        <v/>
      </c>
      <c r="HJ97" s="197" t="str">
        <f t="shared" si="1563"/>
        <v/>
      </c>
      <c r="HK97" s="198" t="str">
        <f t="shared" si="1564"/>
        <v/>
      </c>
      <c r="HL97" s="197" t="str">
        <f t="shared" si="1565"/>
        <v/>
      </c>
      <c r="HM97" s="232"/>
      <c r="HN97" s="232"/>
      <c r="HO97" s="309">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0" t="str">
        <f t="shared" si="1463"/>
        <v/>
      </c>
      <c r="HV97" s="196" t="str">
        <f t="shared" si="1567"/>
        <v/>
      </c>
      <c r="HW97" s="197" t="str">
        <f t="shared" si="1568"/>
        <v/>
      </c>
      <c r="HX97" s="198" t="str">
        <f t="shared" si="1569"/>
        <v/>
      </c>
      <c r="HY97" s="197" t="str">
        <f t="shared" si="1570"/>
        <v/>
      </c>
      <c r="HZ97" s="232"/>
      <c r="IA97" s="232"/>
      <c r="IB97" s="309">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0" t="str">
        <f t="shared" si="1465"/>
        <v/>
      </c>
      <c r="II97" s="196" t="str">
        <f t="shared" si="1572"/>
        <v/>
      </c>
      <c r="IJ97" s="197" t="str">
        <f t="shared" si="1573"/>
        <v/>
      </c>
      <c r="IK97" s="198" t="str">
        <f t="shared" si="1574"/>
        <v/>
      </c>
      <c r="IL97" s="197" t="str">
        <f t="shared" si="1575"/>
        <v/>
      </c>
      <c r="IM97" s="232"/>
      <c r="IN97" s="232"/>
      <c r="IO97" s="309">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0" t="str">
        <f t="shared" si="1467"/>
        <v/>
      </c>
      <c r="IV97" s="196" t="str">
        <f t="shared" si="1577"/>
        <v/>
      </c>
      <c r="IW97" s="197" t="str">
        <f t="shared" si="1578"/>
        <v/>
      </c>
      <c r="IX97" s="198" t="str">
        <f t="shared" si="1579"/>
        <v/>
      </c>
      <c r="IY97" s="197" t="str">
        <f t="shared" si="1580"/>
        <v/>
      </c>
      <c r="IZ97" s="232"/>
      <c r="JA97" s="232"/>
      <c r="JB97" s="309">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0" t="str">
        <f t="shared" si="1469"/>
        <v/>
      </c>
      <c r="JI97" s="196" t="str">
        <f t="shared" si="1582"/>
        <v/>
      </c>
      <c r="JJ97" s="197" t="str">
        <f t="shared" si="1583"/>
        <v/>
      </c>
      <c r="JK97" s="198" t="str">
        <f t="shared" si="1584"/>
        <v/>
      </c>
      <c r="JL97" s="197" t="str">
        <f t="shared" si="1585"/>
        <v/>
      </c>
      <c r="JM97" s="232"/>
      <c r="JN97" s="232"/>
      <c r="JO97" s="309">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0" t="str">
        <f t="shared" si="1471"/>
        <v/>
      </c>
      <c r="JV97" s="196" t="str">
        <f t="shared" si="1587"/>
        <v/>
      </c>
      <c r="JW97" s="197" t="str">
        <f t="shared" si="1588"/>
        <v/>
      </c>
      <c r="JX97" s="198" t="str">
        <f t="shared" si="1589"/>
        <v/>
      </c>
      <c r="JY97" s="197" t="str">
        <f t="shared" si="1590"/>
        <v/>
      </c>
      <c r="JZ97" s="232"/>
      <c r="KA97" s="232"/>
      <c r="KB97" s="309">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0" t="str">
        <f t="shared" si="1473"/>
        <v/>
      </c>
      <c r="KI97" s="196" t="str">
        <f t="shared" si="1592"/>
        <v/>
      </c>
      <c r="KJ97" s="197" t="str">
        <f t="shared" si="1593"/>
        <v/>
      </c>
      <c r="KK97" s="198" t="str">
        <f t="shared" si="1594"/>
        <v/>
      </c>
      <c r="KL97" s="197" t="str">
        <f t="shared" si="1595"/>
        <v/>
      </c>
      <c r="KM97" s="232"/>
      <c r="KN97" s="232"/>
      <c r="KO97" s="309">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0" t="str">
        <f t="shared" si="1475"/>
        <v/>
      </c>
      <c r="KV97" s="196" t="str">
        <f t="shared" si="1597"/>
        <v/>
      </c>
      <c r="KW97" s="197" t="str">
        <f t="shared" si="1598"/>
        <v/>
      </c>
      <c r="KX97" s="198" t="str">
        <f t="shared" si="1599"/>
        <v/>
      </c>
      <c r="KY97" s="197" t="str">
        <f t="shared" si="1600"/>
        <v/>
      </c>
      <c r="KZ97" s="232"/>
      <c r="LA97" s="232"/>
      <c r="LB97" s="309">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0" t="str">
        <f t="shared" si="1477"/>
        <v/>
      </c>
      <c r="LI97" s="196" t="str">
        <f t="shared" si="1602"/>
        <v/>
      </c>
      <c r="LJ97" s="197" t="str">
        <f t="shared" si="1603"/>
        <v/>
      </c>
      <c r="LK97" s="198" t="str">
        <f t="shared" si="1604"/>
        <v/>
      </c>
      <c r="LL97" s="197" t="str">
        <f t="shared" si="1605"/>
        <v/>
      </c>
      <c r="LM97" s="232"/>
      <c r="LN97" s="232"/>
      <c r="LO97" s="309">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0" t="str">
        <f t="shared" si="1479"/>
        <v/>
      </c>
      <c r="LV97" s="196" t="str">
        <f t="shared" si="1607"/>
        <v/>
      </c>
      <c r="LW97" s="197" t="str">
        <f t="shared" si="1608"/>
        <v/>
      </c>
      <c r="LX97" s="198" t="str">
        <f t="shared" si="1609"/>
        <v/>
      </c>
      <c r="LY97" s="197" t="str">
        <f t="shared" si="1610"/>
        <v/>
      </c>
      <c r="LZ97" s="232"/>
      <c r="MA97" s="232"/>
      <c r="MB97" s="309">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0" t="str">
        <f t="shared" si="1481"/>
        <v/>
      </c>
    </row>
    <row r="98" spans="1:345">
      <c r="B98" s="196" t="str">
        <f>IF(C98="","",INDEX(Groups!$C$7:$C$65,MATCH(C98,Groups!$D$7:$D$65,0)))</f>
        <v/>
      </c>
      <c r="C98" s="197" t="str">
        <f>'World Cup'!$Z$50</f>
        <v/>
      </c>
      <c r="D98" s="198" t="str">
        <f>IF(E98="","",INDEX(Groups!$C$7:$C$65,MATCH(E98,Groups!$D$7:$D$65,0)))</f>
        <v/>
      </c>
      <c r="E98" s="197" t="str">
        <f>'World Cup'!$AA$50</f>
        <v/>
      </c>
      <c r="F98" s="199" t="str">
        <f>IF(AND('World Cup'!$Z$51&lt;&gt;"",'World Cup'!$AA$51&lt;&gt;""),'World Cup'!$Z$51,"")</f>
        <v/>
      </c>
      <c r="G98" s="200" t="str">
        <f>IF(AND('World Cup'!$Z$51&lt;&gt;"",'World Cup'!$AA$51&lt;&gt;""),'World Cup'!$AA$51,"")</f>
        <v/>
      </c>
      <c r="I98" s="196" t="str">
        <f t="shared" si="1482"/>
        <v/>
      </c>
      <c r="J98" s="197" t="str">
        <f t="shared" si="1483"/>
        <v/>
      </c>
      <c r="K98" s="198" t="str">
        <f t="shared" si="1484"/>
        <v/>
      </c>
      <c r="L98" s="197" t="str">
        <f t="shared" si="1485"/>
        <v/>
      </c>
      <c r="M98" s="232"/>
      <c r="N98" s="232"/>
      <c r="O98" s="309">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0" t="str">
        <f t="shared" si="1431"/>
        <v/>
      </c>
      <c r="V98" s="196" t="str">
        <f t="shared" si="1487"/>
        <v/>
      </c>
      <c r="W98" s="197" t="str">
        <f t="shared" si="1488"/>
        <v/>
      </c>
      <c r="X98" s="198" t="str">
        <f t="shared" si="1489"/>
        <v/>
      </c>
      <c r="Y98" s="197" t="str">
        <f t="shared" si="1490"/>
        <v/>
      </c>
      <c r="Z98" s="232"/>
      <c r="AA98" s="232"/>
      <c r="AB98" s="309">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0" t="str">
        <f t="shared" si="1433"/>
        <v/>
      </c>
      <c r="AI98" s="196" t="str">
        <f t="shared" si="1492"/>
        <v/>
      </c>
      <c r="AJ98" s="197" t="str">
        <f t="shared" si="1493"/>
        <v/>
      </c>
      <c r="AK98" s="198" t="str">
        <f t="shared" si="1494"/>
        <v/>
      </c>
      <c r="AL98" s="197" t="str">
        <f t="shared" si="1495"/>
        <v/>
      </c>
      <c r="AM98" s="232"/>
      <c r="AN98" s="232"/>
      <c r="AO98" s="309">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0" t="str">
        <f t="shared" si="1435"/>
        <v/>
      </c>
      <c r="AV98" s="196" t="str">
        <f t="shared" si="1497"/>
        <v/>
      </c>
      <c r="AW98" s="197" t="str">
        <f t="shared" si="1498"/>
        <v/>
      </c>
      <c r="AX98" s="198" t="str">
        <f t="shared" si="1499"/>
        <v/>
      </c>
      <c r="AY98" s="197" t="str">
        <f t="shared" si="1500"/>
        <v/>
      </c>
      <c r="AZ98" s="232"/>
      <c r="BA98" s="232"/>
      <c r="BB98" s="309">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0" t="str">
        <f t="shared" si="1437"/>
        <v/>
      </c>
      <c r="BI98" s="196" t="str">
        <f t="shared" si="1502"/>
        <v/>
      </c>
      <c r="BJ98" s="197" t="str">
        <f t="shared" si="1503"/>
        <v/>
      </c>
      <c r="BK98" s="198" t="str">
        <f t="shared" si="1504"/>
        <v/>
      </c>
      <c r="BL98" s="197" t="str">
        <f t="shared" si="1505"/>
        <v/>
      </c>
      <c r="BM98" s="232"/>
      <c r="BN98" s="232"/>
      <c r="BO98" s="309">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0" t="str">
        <f t="shared" si="1439"/>
        <v/>
      </c>
      <c r="BV98" s="196" t="str">
        <f t="shared" si="1507"/>
        <v/>
      </c>
      <c r="BW98" s="197" t="str">
        <f t="shared" si="1508"/>
        <v/>
      </c>
      <c r="BX98" s="198" t="str">
        <f t="shared" si="1509"/>
        <v/>
      </c>
      <c r="BY98" s="197" t="str">
        <f t="shared" si="1510"/>
        <v/>
      </c>
      <c r="BZ98" s="232"/>
      <c r="CA98" s="232"/>
      <c r="CB98" s="309">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0" t="str">
        <f t="shared" si="1441"/>
        <v/>
      </c>
      <c r="CI98" s="196" t="str">
        <f t="shared" si="1512"/>
        <v/>
      </c>
      <c r="CJ98" s="197" t="str">
        <f t="shared" si="1513"/>
        <v/>
      </c>
      <c r="CK98" s="198" t="str">
        <f t="shared" si="1514"/>
        <v/>
      </c>
      <c r="CL98" s="197" t="str">
        <f t="shared" si="1515"/>
        <v/>
      </c>
      <c r="CM98" s="232"/>
      <c r="CN98" s="232"/>
      <c r="CO98" s="309">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0" t="str">
        <f t="shared" si="1443"/>
        <v/>
      </c>
      <c r="CV98" s="196" t="str">
        <f t="shared" si="1517"/>
        <v/>
      </c>
      <c r="CW98" s="197" t="str">
        <f t="shared" si="1518"/>
        <v/>
      </c>
      <c r="CX98" s="198" t="str">
        <f t="shared" si="1519"/>
        <v/>
      </c>
      <c r="CY98" s="197" t="str">
        <f t="shared" si="1520"/>
        <v/>
      </c>
      <c r="CZ98" s="232"/>
      <c r="DA98" s="232"/>
      <c r="DB98" s="309">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0" t="str">
        <f t="shared" si="1445"/>
        <v/>
      </c>
      <c r="DI98" s="196" t="str">
        <f t="shared" si="1522"/>
        <v/>
      </c>
      <c r="DJ98" s="197" t="str">
        <f t="shared" si="1523"/>
        <v/>
      </c>
      <c r="DK98" s="198" t="str">
        <f t="shared" si="1524"/>
        <v/>
      </c>
      <c r="DL98" s="197" t="str">
        <f t="shared" si="1525"/>
        <v/>
      </c>
      <c r="DM98" s="232"/>
      <c r="DN98" s="232"/>
      <c r="DO98" s="309">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0" t="str">
        <f t="shared" si="1447"/>
        <v/>
      </c>
      <c r="DV98" s="196" t="str">
        <f t="shared" si="1527"/>
        <v/>
      </c>
      <c r="DW98" s="197" t="str">
        <f t="shared" si="1528"/>
        <v/>
      </c>
      <c r="DX98" s="198" t="str">
        <f t="shared" si="1529"/>
        <v/>
      </c>
      <c r="DY98" s="197" t="str">
        <f t="shared" si="1530"/>
        <v/>
      </c>
      <c r="DZ98" s="232"/>
      <c r="EA98" s="232"/>
      <c r="EB98" s="309">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0" t="str">
        <f t="shared" si="1449"/>
        <v/>
      </c>
      <c r="EI98" s="196" t="str">
        <f t="shared" si="1532"/>
        <v/>
      </c>
      <c r="EJ98" s="197" t="str">
        <f t="shared" si="1533"/>
        <v/>
      </c>
      <c r="EK98" s="198" t="str">
        <f t="shared" si="1534"/>
        <v/>
      </c>
      <c r="EL98" s="197" t="str">
        <f t="shared" si="1535"/>
        <v/>
      </c>
      <c r="EM98" s="232"/>
      <c r="EN98" s="232"/>
      <c r="EO98" s="309">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0" t="str">
        <f t="shared" si="1451"/>
        <v/>
      </c>
      <c r="EV98" s="196" t="str">
        <f t="shared" si="1537"/>
        <v/>
      </c>
      <c r="EW98" s="197" t="str">
        <f t="shared" si="1538"/>
        <v/>
      </c>
      <c r="EX98" s="198" t="str">
        <f t="shared" si="1539"/>
        <v/>
      </c>
      <c r="EY98" s="197" t="str">
        <f t="shared" si="1540"/>
        <v/>
      </c>
      <c r="EZ98" s="232"/>
      <c r="FA98" s="232"/>
      <c r="FB98" s="309">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0" t="str">
        <f t="shared" si="1453"/>
        <v/>
      </c>
      <c r="FI98" s="196" t="str">
        <f t="shared" si="1542"/>
        <v/>
      </c>
      <c r="FJ98" s="197" t="str">
        <f t="shared" si="1543"/>
        <v/>
      </c>
      <c r="FK98" s="198" t="str">
        <f t="shared" si="1544"/>
        <v/>
      </c>
      <c r="FL98" s="197" t="str">
        <f t="shared" si="1545"/>
        <v/>
      </c>
      <c r="FM98" s="232"/>
      <c r="FN98" s="232"/>
      <c r="FO98" s="309">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0" t="str">
        <f t="shared" si="1455"/>
        <v/>
      </c>
      <c r="FV98" s="196" t="str">
        <f t="shared" si="1547"/>
        <v/>
      </c>
      <c r="FW98" s="197" t="str">
        <f t="shared" si="1548"/>
        <v/>
      </c>
      <c r="FX98" s="198" t="str">
        <f t="shared" si="1549"/>
        <v/>
      </c>
      <c r="FY98" s="197" t="str">
        <f t="shared" si="1550"/>
        <v/>
      </c>
      <c r="FZ98" s="232"/>
      <c r="GA98" s="232"/>
      <c r="GB98" s="309">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0" t="str">
        <f t="shared" si="1457"/>
        <v/>
      </c>
      <c r="GI98" s="196" t="str">
        <f t="shared" si="1552"/>
        <v/>
      </c>
      <c r="GJ98" s="197" t="str">
        <f t="shared" si="1553"/>
        <v/>
      </c>
      <c r="GK98" s="198" t="str">
        <f t="shared" si="1554"/>
        <v/>
      </c>
      <c r="GL98" s="197" t="str">
        <f t="shared" si="1555"/>
        <v/>
      </c>
      <c r="GM98" s="232"/>
      <c r="GN98" s="232"/>
      <c r="GO98" s="309">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0" t="str">
        <f t="shared" si="1459"/>
        <v/>
      </c>
      <c r="GV98" s="196" t="str">
        <f t="shared" si="1557"/>
        <v/>
      </c>
      <c r="GW98" s="197" t="str">
        <f t="shared" si="1558"/>
        <v/>
      </c>
      <c r="GX98" s="198" t="str">
        <f t="shared" si="1559"/>
        <v/>
      </c>
      <c r="GY98" s="197" t="str">
        <f t="shared" si="1560"/>
        <v/>
      </c>
      <c r="GZ98" s="232"/>
      <c r="HA98" s="232"/>
      <c r="HB98" s="309">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0" t="str">
        <f t="shared" si="1461"/>
        <v/>
      </c>
      <c r="HI98" s="196" t="str">
        <f t="shared" si="1562"/>
        <v/>
      </c>
      <c r="HJ98" s="197" t="str">
        <f t="shared" si="1563"/>
        <v/>
      </c>
      <c r="HK98" s="198" t="str">
        <f t="shared" si="1564"/>
        <v/>
      </c>
      <c r="HL98" s="197" t="str">
        <f t="shared" si="1565"/>
        <v/>
      </c>
      <c r="HM98" s="232"/>
      <c r="HN98" s="232"/>
      <c r="HO98" s="309">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0" t="str">
        <f t="shared" si="1463"/>
        <v/>
      </c>
      <c r="HV98" s="196" t="str">
        <f t="shared" si="1567"/>
        <v/>
      </c>
      <c r="HW98" s="197" t="str">
        <f t="shared" si="1568"/>
        <v/>
      </c>
      <c r="HX98" s="198" t="str">
        <f t="shared" si="1569"/>
        <v/>
      </c>
      <c r="HY98" s="197" t="str">
        <f t="shared" si="1570"/>
        <v/>
      </c>
      <c r="HZ98" s="232"/>
      <c r="IA98" s="232"/>
      <c r="IB98" s="309">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0" t="str">
        <f t="shared" si="1465"/>
        <v/>
      </c>
      <c r="II98" s="196" t="str">
        <f t="shared" si="1572"/>
        <v/>
      </c>
      <c r="IJ98" s="197" t="str">
        <f t="shared" si="1573"/>
        <v/>
      </c>
      <c r="IK98" s="198" t="str">
        <f t="shared" si="1574"/>
        <v/>
      </c>
      <c r="IL98" s="197" t="str">
        <f t="shared" si="1575"/>
        <v/>
      </c>
      <c r="IM98" s="232"/>
      <c r="IN98" s="232"/>
      <c r="IO98" s="309">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0" t="str">
        <f t="shared" si="1467"/>
        <v/>
      </c>
      <c r="IV98" s="196" t="str">
        <f t="shared" si="1577"/>
        <v/>
      </c>
      <c r="IW98" s="197" t="str">
        <f t="shared" si="1578"/>
        <v/>
      </c>
      <c r="IX98" s="198" t="str">
        <f t="shared" si="1579"/>
        <v/>
      </c>
      <c r="IY98" s="197" t="str">
        <f t="shared" si="1580"/>
        <v/>
      </c>
      <c r="IZ98" s="232"/>
      <c r="JA98" s="232"/>
      <c r="JB98" s="309">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0" t="str">
        <f t="shared" si="1469"/>
        <v/>
      </c>
      <c r="JI98" s="196" t="str">
        <f t="shared" si="1582"/>
        <v/>
      </c>
      <c r="JJ98" s="197" t="str">
        <f t="shared" si="1583"/>
        <v/>
      </c>
      <c r="JK98" s="198" t="str">
        <f t="shared" si="1584"/>
        <v/>
      </c>
      <c r="JL98" s="197" t="str">
        <f t="shared" si="1585"/>
        <v/>
      </c>
      <c r="JM98" s="232"/>
      <c r="JN98" s="232"/>
      <c r="JO98" s="309">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0" t="str">
        <f t="shared" si="1471"/>
        <v/>
      </c>
      <c r="JV98" s="196" t="str">
        <f t="shared" si="1587"/>
        <v/>
      </c>
      <c r="JW98" s="197" t="str">
        <f t="shared" si="1588"/>
        <v/>
      </c>
      <c r="JX98" s="198" t="str">
        <f t="shared" si="1589"/>
        <v/>
      </c>
      <c r="JY98" s="197" t="str">
        <f t="shared" si="1590"/>
        <v/>
      </c>
      <c r="JZ98" s="232"/>
      <c r="KA98" s="232"/>
      <c r="KB98" s="309">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0" t="str">
        <f t="shared" si="1473"/>
        <v/>
      </c>
      <c r="KI98" s="196" t="str">
        <f t="shared" si="1592"/>
        <v/>
      </c>
      <c r="KJ98" s="197" t="str">
        <f t="shared" si="1593"/>
        <v/>
      </c>
      <c r="KK98" s="198" t="str">
        <f t="shared" si="1594"/>
        <v/>
      </c>
      <c r="KL98" s="197" t="str">
        <f t="shared" si="1595"/>
        <v/>
      </c>
      <c r="KM98" s="232"/>
      <c r="KN98" s="232"/>
      <c r="KO98" s="309">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0" t="str">
        <f t="shared" si="1475"/>
        <v/>
      </c>
      <c r="KV98" s="196" t="str">
        <f t="shared" si="1597"/>
        <v/>
      </c>
      <c r="KW98" s="197" t="str">
        <f t="shared" si="1598"/>
        <v/>
      </c>
      <c r="KX98" s="198" t="str">
        <f t="shared" si="1599"/>
        <v/>
      </c>
      <c r="KY98" s="197" t="str">
        <f t="shared" si="1600"/>
        <v/>
      </c>
      <c r="KZ98" s="232"/>
      <c r="LA98" s="232"/>
      <c r="LB98" s="309">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0" t="str">
        <f t="shared" si="1477"/>
        <v/>
      </c>
      <c r="LI98" s="196" t="str">
        <f t="shared" si="1602"/>
        <v/>
      </c>
      <c r="LJ98" s="197" t="str">
        <f t="shared" si="1603"/>
        <v/>
      </c>
      <c r="LK98" s="198" t="str">
        <f t="shared" si="1604"/>
        <v/>
      </c>
      <c r="LL98" s="197" t="str">
        <f t="shared" si="1605"/>
        <v/>
      </c>
      <c r="LM98" s="232"/>
      <c r="LN98" s="232"/>
      <c r="LO98" s="309">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0" t="str">
        <f t="shared" si="1479"/>
        <v/>
      </c>
      <c r="LV98" s="196" t="str">
        <f t="shared" si="1607"/>
        <v/>
      </c>
      <c r="LW98" s="197" t="str">
        <f t="shared" si="1608"/>
        <v/>
      </c>
      <c r="LX98" s="198" t="str">
        <f t="shared" si="1609"/>
        <v/>
      </c>
      <c r="LY98" s="197" t="str">
        <f t="shared" si="1610"/>
        <v/>
      </c>
      <c r="LZ98" s="232"/>
      <c r="MA98" s="232"/>
      <c r="MB98" s="309">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0" t="str">
        <f t="shared" si="1481"/>
        <v/>
      </c>
    </row>
    <row r="99" spans="1:345">
      <c r="B99" s="196" t="str">
        <f>IF(C99="","",INDEX(Groups!$C$7:$C$65,MATCH(C99,Groups!$D$7:$D$65,0)))</f>
        <v/>
      </c>
      <c r="C99" s="197" t="str">
        <f>'World Cup'!$AC$50</f>
        <v/>
      </c>
      <c r="D99" s="198" t="str">
        <f>IF(E99="","",INDEX(Groups!$C$7:$C$65,MATCH(E99,Groups!$D$7:$D$65,0)))</f>
        <v/>
      </c>
      <c r="E99" s="197" t="str">
        <f>'World Cup'!$AD$50</f>
        <v/>
      </c>
      <c r="F99" s="199" t="str">
        <f>IF(AND('World Cup'!$AC$51&lt;&gt;"",'World Cup'!$AD$51&lt;&gt;""),'World Cup'!$AC$51,"")</f>
        <v/>
      </c>
      <c r="G99" s="200" t="str">
        <f>IF(AND('World Cup'!$AC$51&lt;&gt;"",'World Cup'!$AD$51&lt;&gt;""),'World Cup'!$AD$51,"")</f>
        <v/>
      </c>
      <c r="I99" s="196" t="str">
        <f t="shared" si="1482"/>
        <v/>
      </c>
      <c r="J99" s="197" t="str">
        <f t="shared" si="1483"/>
        <v/>
      </c>
      <c r="K99" s="198" t="str">
        <f t="shared" si="1484"/>
        <v/>
      </c>
      <c r="L99" s="197" t="str">
        <f t="shared" si="1485"/>
        <v/>
      </c>
      <c r="M99" s="232"/>
      <c r="N99" s="232"/>
      <c r="O99" s="309">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0" t="str">
        <f t="shared" si="1431"/>
        <v/>
      </c>
      <c r="V99" s="196" t="str">
        <f t="shared" si="1487"/>
        <v/>
      </c>
      <c r="W99" s="197" t="str">
        <f t="shared" si="1488"/>
        <v/>
      </c>
      <c r="X99" s="198" t="str">
        <f t="shared" si="1489"/>
        <v/>
      </c>
      <c r="Y99" s="197" t="str">
        <f t="shared" si="1490"/>
        <v/>
      </c>
      <c r="Z99" s="232"/>
      <c r="AA99" s="232"/>
      <c r="AB99" s="309">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0" t="str">
        <f t="shared" si="1433"/>
        <v/>
      </c>
      <c r="AI99" s="196" t="str">
        <f t="shared" si="1492"/>
        <v/>
      </c>
      <c r="AJ99" s="197" t="str">
        <f t="shared" si="1493"/>
        <v/>
      </c>
      <c r="AK99" s="198" t="str">
        <f t="shared" si="1494"/>
        <v/>
      </c>
      <c r="AL99" s="197" t="str">
        <f t="shared" si="1495"/>
        <v/>
      </c>
      <c r="AM99" s="232"/>
      <c r="AN99" s="232"/>
      <c r="AO99" s="309">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0" t="str">
        <f t="shared" si="1435"/>
        <v/>
      </c>
      <c r="AV99" s="196" t="str">
        <f t="shared" si="1497"/>
        <v/>
      </c>
      <c r="AW99" s="197" t="str">
        <f t="shared" si="1498"/>
        <v/>
      </c>
      <c r="AX99" s="198" t="str">
        <f t="shared" si="1499"/>
        <v/>
      </c>
      <c r="AY99" s="197" t="str">
        <f t="shared" si="1500"/>
        <v/>
      </c>
      <c r="AZ99" s="232"/>
      <c r="BA99" s="232"/>
      <c r="BB99" s="309">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0" t="str">
        <f t="shared" si="1437"/>
        <v/>
      </c>
      <c r="BI99" s="196" t="str">
        <f t="shared" si="1502"/>
        <v/>
      </c>
      <c r="BJ99" s="197" t="str">
        <f t="shared" si="1503"/>
        <v/>
      </c>
      <c r="BK99" s="198" t="str">
        <f t="shared" si="1504"/>
        <v/>
      </c>
      <c r="BL99" s="197" t="str">
        <f t="shared" si="1505"/>
        <v/>
      </c>
      <c r="BM99" s="232"/>
      <c r="BN99" s="232"/>
      <c r="BO99" s="309">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0" t="str">
        <f t="shared" si="1439"/>
        <v/>
      </c>
      <c r="BV99" s="196" t="str">
        <f t="shared" si="1507"/>
        <v/>
      </c>
      <c r="BW99" s="197" t="str">
        <f t="shared" si="1508"/>
        <v/>
      </c>
      <c r="BX99" s="198" t="str">
        <f t="shared" si="1509"/>
        <v/>
      </c>
      <c r="BY99" s="197" t="str">
        <f t="shared" si="1510"/>
        <v/>
      </c>
      <c r="BZ99" s="232"/>
      <c r="CA99" s="232"/>
      <c r="CB99" s="309">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0" t="str">
        <f t="shared" si="1441"/>
        <v/>
      </c>
      <c r="CI99" s="196" t="str">
        <f t="shared" si="1512"/>
        <v/>
      </c>
      <c r="CJ99" s="197" t="str">
        <f t="shared" si="1513"/>
        <v/>
      </c>
      <c r="CK99" s="198" t="str">
        <f t="shared" si="1514"/>
        <v/>
      </c>
      <c r="CL99" s="197" t="str">
        <f t="shared" si="1515"/>
        <v/>
      </c>
      <c r="CM99" s="232"/>
      <c r="CN99" s="232"/>
      <c r="CO99" s="309">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0" t="str">
        <f t="shared" si="1443"/>
        <v/>
      </c>
      <c r="CV99" s="196" t="str">
        <f t="shared" si="1517"/>
        <v/>
      </c>
      <c r="CW99" s="197" t="str">
        <f t="shared" si="1518"/>
        <v/>
      </c>
      <c r="CX99" s="198" t="str">
        <f t="shared" si="1519"/>
        <v/>
      </c>
      <c r="CY99" s="197" t="str">
        <f t="shared" si="1520"/>
        <v/>
      </c>
      <c r="CZ99" s="232"/>
      <c r="DA99" s="232"/>
      <c r="DB99" s="309">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0" t="str">
        <f t="shared" si="1445"/>
        <v/>
      </c>
      <c r="DI99" s="196" t="str">
        <f t="shared" si="1522"/>
        <v/>
      </c>
      <c r="DJ99" s="197" t="str">
        <f t="shared" si="1523"/>
        <v/>
      </c>
      <c r="DK99" s="198" t="str">
        <f t="shared" si="1524"/>
        <v/>
      </c>
      <c r="DL99" s="197" t="str">
        <f t="shared" si="1525"/>
        <v/>
      </c>
      <c r="DM99" s="232"/>
      <c r="DN99" s="232"/>
      <c r="DO99" s="309">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0" t="str">
        <f t="shared" si="1447"/>
        <v/>
      </c>
      <c r="DV99" s="196" t="str">
        <f t="shared" si="1527"/>
        <v/>
      </c>
      <c r="DW99" s="197" t="str">
        <f t="shared" si="1528"/>
        <v/>
      </c>
      <c r="DX99" s="198" t="str">
        <f t="shared" si="1529"/>
        <v/>
      </c>
      <c r="DY99" s="197" t="str">
        <f t="shared" si="1530"/>
        <v/>
      </c>
      <c r="DZ99" s="232"/>
      <c r="EA99" s="232"/>
      <c r="EB99" s="309">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0" t="str">
        <f t="shared" si="1449"/>
        <v/>
      </c>
      <c r="EI99" s="196" t="str">
        <f t="shared" si="1532"/>
        <v/>
      </c>
      <c r="EJ99" s="197" t="str">
        <f t="shared" si="1533"/>
        <v/>
      </c>
      <c r="EK99" s="198" t="str">
        <f t="shared" si="1534"/>
        <v/>
      </c>
      <c r="EL99" s="197" t="str">
        <f t="shared" si="1535"/>
        <v/>
      </c>
      <c r="EM99" s="232"/>
      <c r="EN99" s="232"/>
      <c r="EO99" s="309">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0" t="str">
        <f t="shared" si="1451"/>
        <v/>
      </c>
      <c r="EV99" s="196" t="str">
        <f t="shared" si="1537"/>
        <v/>
      </c>
      <c r="EW99" s="197" t="str">
        <f t="shared" si="1538"/>
        <v/>
      </c>
      <c r="EX99" s="198" t="str">
        <f t="shared" si="1539"/>
        <v/>
      </c>
      <c r="EY99" s="197" t="str">
        <f t="shared" si="1540"/>
        <v/>
      </c>
      <c r="EZ99" s="232"/>
      <c r="FA99" s="232"/>
      <c r="FB99" s="309">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0" t="str">
        <f t="shared" si="1453"/>
        <v/>
      </c>
      <c r="FI99" s="196" t="str">
        <f t="shared" si="1542"/>
        <v/>
      </c>
      <c r="FJ99" s="197" t="str">
        <f t="shared" si="1543"/>
        <v/>
      </c>
      <c r="FK99" s="198" t="str">
        <f t="shared" si="1544"/>
        <v/>
      </c>
      <c r="FL99" s="197" t="str">
        <f t="shared" si="1545"/>
        <v/>
      </c>
      <c r="FM99" s="232"/>
      <c r="FN99" s="232"/>
      <c r="FO99" s="309">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0" t="str">
        <f t="shared" si="1455"/>
        <v/>
      </c>
      <c r="FV99" s="196" t="str">
        <f t="shared" si="1547"/>
        <v/>
      </c>
      <c r="FW99" s="197" t="str">
        <f t="shared" si="1548"/>
        <v/>
      </c>
      <c r="FX99" s="198" t="str">
        <f t="shared" si="1549"/>
        <v/>
      </c>
      <c r="FY99" s="197" t="str">
        <f t="shared" si="1550"/>
        <v/>
      </c>
      <c r="FZ99" s="232"/>
      <c r="GA99" s="232"/>
      <c r="GB99" s="309">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0" t="str">
        <f t="shared" si="1457"/>
        <v/>
      </c>
      <c r="GI99" s="196" t="str">
        <f t="shared" si="1552"/>
        <v/>
      </c>
      <c r="GJ99" s="197" t="str">
        <f t="shared" si="1553"/>
        <v/>
      </c>
      <c r="GK99" s="198" t="str">
        <f t="shared" si="1554"/>
        <v/>
      </c>
      <c r="GL99" s="197" t="str">
        <f t="shared" si="1555"/>
        <v/>
      </c>
      <c r="GM99" s="232"/>
      <c r="GN99" s="232"/>
      <c r="GO99" s="309">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0" t="str">
        <f t="shared" si="1459"/>
        <v/>
      </c>
      <c r="GV99" s="196" t="str">
        <f t="shared" si="1557"/>
        <v/>
      </c>
      <c r="GW99" s="197" t="str">
        <f t="shared" si="1558"/>
        <v/>
      </c>
      <c r="GX99" s="198" t="str">
        <f t="shared" si="1559"/>
        <v/>
      </c>
      <c r="GY99" s="197" t="str">
        <f t="shared" si="1560"/>
        <v/>
      </c>
      <c r="GZ99" s="232"/>
      <c r="HA99" s="232"/>
      <c r="HB99" s="309">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0" t="str">
        <f t="shared" si="1461"/>
        <v/>
      </c>
      <c r="HI99" s="196" t="str">
        <f t="shared" si="1562"/>
        <v/>
      </c>
      <c r="HJ99" s="197" t="str">
        <f t="shared" si="1563"/>
        <v/>
      </c>
      <c r="HK99" s="198" t="str">
        <f t="shared" si="1564"/>
        <v/>
      </c>
      <c r="HL99" s="197" t="str">
        <f t="shared" si="1565"/>
        <v/>
      </c>
      <c r="HM99" s="232"/>
      <c r="HN99" s="232"/>
      <c r="HO99" s="309">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0" t="str">
        <f t="shared" si="1463"/>
        <v/>
      </c>
      <c r="HV99" s="196" t="str">
        <f t="shared" si="1567"/>
        <v/>
      </c>
      <c r="HW99" s="197" t="str">
        <f t="shared" si="1568"/>
        <v/>
      </c>
      <c r="HX99" s="198" t="str">
        <f t="shared" si="1569"/>
        <v/>
      </c>
      <c r="HY99" s="197" t="str">
        <f t="shared" si="1570"/>
        <v/>
      </c>
      <c r="HZ99" s="232"/>
      <c r="IA99" s="232"/>
      <c r="IB99" s="309">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0" t="str">
        <f t="shared" si="1465"/>
        <v/>
      </c>
      <c r="II99" s="196" t="str">
        <f t="shared" si="1572"/>
        <v/>
      </c>
      <c r="IJ99" s="197" t="str">
        <f t="shared" si="1573"/>
        <v/>
      </c>
      <c r="IK99" s="198" t="str">
        <f t="shared" si="1574"/>
        <v/>
      </c>
      <c r="IL99" s="197" t="str">
        <f t="shared" si="1575"/>
        <v/>
      </c>
      <c r="IM99" s="232"/>
      <c r="IN99" s="232"/>
      <c r="IO99" s="309">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0" t="str">
        <f t="shared" si="1467"/>
        <v/>
      </c>
      <c r="IV99" s="196" t="str">
        <f t="shared" si="1577"/>
        <v/>
      </c>
      <c r="IW99" s="197" t="str">
        <f t="shared" si="1578"/>
        <v/>
      </c>
      <c r="IX99" s="198" t="str">
        <f t="shared" si="1579"/>
        <v/>
      </c>
      <c r="IY99" s="197" t="str">
        <f t="shared" si="1580"/>
        <v/>
      </c>
      <c r="IZ99" s="232"/>
      <c r="JA99" s="232"/>
      <c r="JB99" s="309">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0" t="str">
        <f t="shared" si="1469"/>
        <v/>
      </c>
      <c r="JI99" s="196" t="str">
        <f t="shared" si="1582"/>
        <v/>
      </c>
      <c r="JJ99" s="197" t="str">
        <f t="shared" si="1583"/>
        <v/>
      </c>
      <c r="JK99" s="198" t="str">
        <f t="shared" si="1584"/>
        <v/>
      </c>
      <c r="JL99" s="197" t="str">
        <f t="shared" si="1585"/>
        <v/>
      </c>
      <c r="JM99" s="232"/>
      <c r="JN99" s="232"/>
      <c r="JO99" s="309">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0" t="str">
        <f t="shared" si="1471"/>
        <v/>
      </c>
      <c r="JV99" s="196" t="str">
        <f t="shared" si="1587"/>
        <v/>
      </c>
      <c r="JW99" s="197" t="str">
        <f t="shared" si="1588"/>
        <v/>
      </c>
      <c r="JX99" s="198" t="str">
        <f t="shared" si="1589"/>
        <v/>
      </c>
      <c r="JY99" s="197" t="str">
        <f t="shared" si="1590"/>
        <v/>
      </c>
      <c r="JZ99" s="232"/>
      <c r="KA99" s="232"/>
      <c r="KB99" s="309">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0" t="str">
        <f t="shared" si="1473"/>
        <v/>
      </c>
      <c r="KI99" s="196" t="str">
        <f t="shared" si="1592"/>
        <v/>
      </c>
      <c r="KJ99" s="197" t="str">
        <f t="shared" si="1593"/>
        <v/>
      </c>
      <c r="KK99" s="198" t="str">
        <f t="shared" si="1594"/>
        <v/>
      </c>
      <c r="KL99" s="197" t="str">
        <f t="shared" si="1595"/>
        <v/>
      </c>
      <c r="KM99" s="232"/>
      <c r="KN99" s="232"/>
      <c r="KO99" s="309">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0" t="str">
        <f t="shared" si="1475"/>
        <v/>
      </c>
      <c r="KV99" s="196" t="str">
        <f t="shared" si="1597"/>
        <v/>
      </c>
      <c r="KW99" s="197" t="str">
        <f t="shared" si="1598"/>
        <v/>
      </c>
      <c r="KX99" s="198" t="str">
        <f t="shared" si="1599"/>
        <v/>
      </c>
      <c r="KY99" s="197" t="str">
        <f t="shared" si="1600"/>
        <v/>
      </c>
      <c r="KZ99" s="232"/>
      <c r="LA99" s="232"/>
      <c r="LB99" s="309">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0" t="str">
        <f t="shared" si="1477"/>
        <v/>
      </c>
      <c r="LI99" s="196" t="str">
        <f t="shared" si="1602"/>
        <v/>
      </c>
      <c r="LJ99" s="197" t="str">
        <f t="shared" si="1603"/>
        <v/>
      </c>
      <c r="LK99" s="198" t="str">
        <f t="shared" si="1604"/>
        <v/>
      </c>
      <c r="LL99" s="197" t="str">
        <f t="shared" si="1605"/>
        <v/>
      </c>
      <c r="LM99" s="232"/>
      <c r="LN99" s="232"/>
      <c r="LO99" s="309">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0" t="str">
        <f t="shared" si="1479"/>
        <v/>
      </c>
      <c r="LV99" s="196" t="str">
        <f t="shared" si="1607"/>
        <v/>
      </c>
      <c r="LW99" s="197" t="str">
        <f t="shared" si="1608"/>
        <v/>
      </c>
      <c r="LX99" s="198" t="str">
        <f t="shared" si="1609"/>
        <v/>
      </c>
      <c r="LY99" s="197" t="str">
        <f t="shared" si="1610"/>
        <v/>
      </c>
      <c r="LZ99" s="232"/>
      <c r="MA99" s="232"/>
      <c r="MB99" s="309">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0" t="str">
        <f t="shared" si="1481"/>
        <v/>
      </c>
    </row>
    <row r="100" spans="1:345">
      <c r="B100" s="196" t="str">
        <f>IF(C100="","",INDEX(Groups!$C$7:$C$65,MATCH(C100,Groups!$D$7:$D$65,0)))</f>
        <v/>
      </c>
      <c r="C100" s="197" t="str">
        <f>'World Cup'!$AF$50</f>
        <v/>
      </c>
      <c r="D100" s="198" t="str">
        <f>IF(E100="","",INDEX(Groups!$C$7:$C$65,MATCH(E100,Groups!$D$7:$D$65,0)))</f>
        <v/>
      </c>
      <c r="E100" s="197" t="str">
        <f>'World Cup'!$AG$50</f>
        <v/>
      </c>
      <c r="F100" s="199" t="str">
        <f>IF(AND('World Cup'!$AF$51&lt;&gt;"",'World Cup'!$AG$51&lt;&gt;""),'World Cup'!$AF$51,"")</f>
        <v/>
      </c>
      <c r="G100" s="200" t="str">
        <f>IF(AND('World Cup'!$AF$51&lt;&gt;"",'World Cup'!$AG$51&lt;&gt;""),'World Cup'!$AG$51,"")</f>
        <v/>
      </c>
      <c r="I100" s="196" t="str">
        <f t="shared" si="1482"/>
        <v/>
      </c>
      <c r="J100" s="197" t="str">
        <f t="shared" si="1483"/>
        <v/>
      </c>
      <c r="K100" s="198" t="str">
        <f t="shared" si="1484"/>
        <v/>
      </c>
      <c r="L100" s="197" t="str">
        <f t="shared" si="1485"/>
        <v/>
      </c>
      <c r="M100" s="232"/>
      <c r="N100" s="232"/>
      <c r="O100" s="309">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0" t="str">
        <f t="shared" si="1431"/>
        <v/>
      </c>
      <c r="V100" s="196" t="str">
        <f t="shared" si="1487"/>
        <v/>
      </c>
      <c r="W100" s="197" t="str">
        <f t="shared" si="1488"/>
        <v/>
      </c>
      <c r="X100" s="198" t="str">
        <f t="shared" si="1489"/>
        <v/>
      </c>
      <c r="Y100" s="197" t="str">
        <f t="shared" si="1490"/>
        <v/>
      </c>
      <c r="Z100" s="232"/>
      <c r="AA100" s="232"/>
      <c r="AB100" s="309">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0" t="str">
        <f t="shared" si="1433"/>
        <v/>
      </c>
      <c r="AI100" s="196" t="str">
        <f t="shared" si="1492"/>
        <v/>
      </c>
      <c r="AJ100" s="197" t="str">
        <f t="shared" si="1493"/>
        <v/>
      </c>
      <c r="AK100" s="198" t="str">
        <f t="shared" si="1494"/>
        <v/>
      </c>
      <c r="AL100" s="197" t="str">
        <f t="shared" si="1495"/>
        <v/>
      </c>
      <c r="AM100" s="232"/>
      <c r="AN100" s="232"/>
      <c r="AO100" s="309">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0" t="str">
        <f t="shared" si="1435"/>
        <v/>
      </c>
      <c r="AV100" s="196" t="str">
        <f t="shared" si="1497"/>
        <v/>
      </c>
      <c r="AW100" s="197" t="str">
        <f t="shared" si="1498"/>
        <v/>
      </c>
      <c r="AX100" s="198" t="str">
        <f t="shared" si="1499"/>
        <v/>
      </c>
      <c r="AY100" s="197" t="str">
        <f t="shared" si="1500"/>
        <v/>
      </c>
      <c r="AZ100" s="232"/>
      <c r="BA100" s="232"/>
      <c r="BB100" s="309">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0" t="str">
        <f t="shared" si="1437"/>
        <v/>
      </c>
      <c r="BI100" s="196" t="str">
        <f t="shared" si="1502"/>
        <v/>
      </c>
      <c r="BJ100" s="197" t="str">
        <f t="shared" si="1503"/>
        <v/>
      </c>
      <c r="BK100" s="198" t="str">
        <f t="shared" si="1504"/>
        <v/>
      </c>
      <c r="BL100" s="197" t="str">
        <f t="shared" si="1505"/>
        <v/>
      </c>
      <c r="BM100" s="232"/>
      <c r="BN100" s="232"/>
      <c r="BO100" s="309">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0" t="str">
        <f t="shared" si="1439"/>
        <v/>
      </c>
      <c r="BV100" s="196" t="str">
        <f t="shared" si="1507"/>
        <v/>
      </c>
      <c r="BW100" s="197" t="str">
        <f t="shared" si="1508"/>
        <v/>
      </c>
      <c r="BX100" s="198" t="str">
        <f t="shared" si="1509"/>
        <v/>
      </c>
      <c r="BY100" s="197" t="str">
        <f t="shared" si="1510"/>
        <v/>
      </c>
      <c r="BZ100" s="232"/>
      <c r="CA100" s="232"/>
      <c r="CB100" s="309">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0" t="str">
        <f t="shared" si="1441"/>
        <v/>
      </c>
      <c r="CI100" s="196" t="str">
        <f t="shared" si="1512"/>
        <v/>
      </c>
      <c r="CJ100" s="197" t="str">
        <f t="shared" si="1513"/>
        <v/>
      </c>
      <c r="CK100" s="198" t="str">
        <f t="shared" si="1514"/>
        <v/>
      </c>
      <c r="CL100" s="197" t="str">
        <f t="shared" si="1515"/>
        <v/>
      </c>
      <c r="CM100" s="232"/>
      <c r="CN100" s="232"/>
      <c r="CO100" s="309">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0" t="str">
        <f t="shared" si="1443"/>
        <v/>
      </c>
      <c r="CV100" s="196" t="str">
        <f t="shared" si="1517"/>
        <v/>
      </c>
      <c r="CW100" s="197" t="str">
        <f t="shared" si="1518"/>
        <v/>
      </c>
      <c r="CX100" s="198" t="str">
        <f t="shared" si="1519"/>
        <v/>
      </c>
      <c r="CY100" s="197" t="str">
        <f t="shared" si="1520"/>
        <v/>
      </c>
      <c r="CZ100" s="232"/>
      <c r="DA100" s="232"/>
      <c r="DB100" s="309">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0" t="str">
        <f t="shared" si="1445"/>
        <v/>
      </c>
      <c r="DI100" s="196" t="str">
        <f t="shared" si="1522"/>
        <v/>
      </c>
      <c r="DJ100" s="197" t="str">
        <f t="shared" si="1523"/>
        <v/>
      </c>
      <c r="DK100" s="198" t="str">
        <f t="shared" si="1524"/>
        <v/>
      </c>
      <c r="DL100" s="197" t="str">
        <f t="shared" si="1525"/>
        <v/>
      </c>
      <c r="DM100" s="232"/>
      <c r="DN100" s="232"/>
      <c r="DO100" s="309">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0" t="str">
        <f t="shared" si="1447"/>
        <v/>
      </c>
      <c r="DV100" s="196" t="str">
        <f t="shared" si="1527"/>
        <v/>
      </c>
      <c r="DW100" s="197" t="str">
        <f t="shared" si="1528"/>
        <v/>
      </c>
      <c r="DX100" s="198" t="str">
        <f t="shared" si="1529"/>
        <v/>
      </c>
      <c r="DY100" s="197" t="str">
        <f t="shared" si="1530"/>
        <v/>
      </c>
      <c r="DZ100" s="232"/>
      <c r="EA100" s="232"/>
      <c r="EB100" s="309">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0" t="str">
        <f t="shared" si="1449"/>
        <v/>
      </c>
      <c r="EI100" s="196" t="str">
        <f t="shared" si="1532"/>
        <v/>
      </c>
      <c r="EJ100" s="197" t="str">
        <f t="shared" si="1533"/>
        <v/>
      </c>
      <c r="EK100" s="198" t="str">
        <f t="shared" si="1534"/>
        <v/>
      </c>
      <c r="EL100" s="197" t="str">
        <f t="shared" si="1535"/>
        <v/>
      </c>
      <c r="EM100" s="232"/>
      <c r="EN100" s="232"/>
      <c r="EO100" s="309">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0" t="str">
        <f t="shared" si="1451"/>
        <v/>
      </c>
      <c r="EV100" s="196" t="str">
        <f t="shared" si="1537"/>
        <v/>
      </c>
      <c r="EW100" s="197" t="str">
        <f t="shared" si="1538"/>
        <v/>
      </c>
      <c r="EX100" s="198" t="str">
        <f t="shared" si="1539"/>
        <v/>
      </c>
      <c r="EY100" s="197" t="str">
        <f t="shared" si="1540"/>
        <v/>
      </c>
      <c r="EZ100" s="232"/>
      <c r="FA100" s="232"/>
      <c r="FB100" s="309">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0" t="str">
        <f t="shared" si="1453"/>
        <v/>
      </c>
      <c r="FI100" s="196" t="str">
        <f t="shared" si="1542"/>
        <v/>
      </c>
      <c r="FJ100" s="197" t="str">
        <f t="shared" si="1543"/>
        <v/>
      </c>
      <c r="FK100" s="198" t="str">
        <f t="shared" si="1544"/>
        <v/>
      </c>
      <c r="FL100" s="197" t="str">
        <f t="shared" si="1545"/>
        <v/>
      </c>
      <c r="FM100" s="232"/>
      <c r="FN100" s="232"/>
      <c r="FO100" s="309">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0" t="str">
        <f t="shared" si="1455"/>
        <v/>
      </c>
      <c r="FV100" s="196" t="str">
        <f t="shared" si="1547"/>
        <v/>
      </c>
      <c r="FW100" s="197" t="str">
        <f t="shared" si="1548"/>
        <v/>
      </c>
      <c r="FX100" s="198" t="str">
        <f t="shared" si="1549"/>
        <v/>
      </c>
      <c r="FY100" s="197" t="str">
        <f t="shared" si="1550"/>
        <v/>
      </c>
      <c r="FZ100" s="232"/>
      <c r="GA100" s="232"/>
      <c r="GB100" s="309">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0" t="str">
        <f t="shared" si="1457"/>
        <v/>
      </c>
      <c r="GI100" s="196" t="str">
        <f t="shared" si="1552"/>
        <v/>
      </c>
      <c r="GJ100" s="197" t="str">
        <f t="shared" si="1553"/>
        <v/>
      </c>
      <c r="GK100" s="198" t="str">
        <f t="shared" si="1554"/>
        <v/>
      </c>
      <c r="GL100" s="197" t="str">
        <f t="shared" si="1555"/>
        <v/>
      </c>
      <c r="GM100" s="232"/>
      <c r="GN100" s="232"/>
      <c r="GO100" s="309">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0" t="str">
        <f t="shared" si="1459"/>
        <v/>
      </c>
      <c r="GV100" s="196" t="str">
        <f t="shared" si="1557"/>
        <v/>
      </c>
      <c r="GW100" s="197" t="str">
        <f t="shared" si="1558"/>
        <v/>
      </c>
      <c r="GX100" s="198" t="str">
        <f t="shared" si="1559"/>
        <v/>
      </c>
      <c r="GY100" s="197" t="str">
        <f t="shared" si="1560"/>
        <v/>
      </c>
      <c r="GZ100" s="232"/>
      <c r="HA100" s="232"/>
      <c r="HB100" s="309">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0" t="str">
        <f t="shared" si="1461"/>
        <v/>
      </c>
      <c r="HI100" s="196" t="str">
        <f t="shared" si="1562"/>
        <v/>
      </c>
      <c r="HJ100" s="197" t="str">
        <f t="shared" si="1563"/>
        <v/>
      </c>
      <c r="HK100" s="198" t="str">
        <f t="shared" si="1564"/>
        <v/>
      </c>
      <c r="HL100" s="197" t="str">
        <f t="shared" si="1565"/>
        <v/>
      </c>
      <c r="HM100" s="232"/>
      <c r="HN100" s="232"/>
      <c r="HO100" s="309">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0" t="str">
        <f t="shared" si="1463"/>
        <v/>
      </c>
      <c r="HV100" s="196" t="str">
        <f t="shared" si="1567"/>
        <v/>
      </c>
      <c r="HW100" s="197" t="str">
        <f t="shared" si="1568"/>
        <v/>
      </c>
      <c r="HX100" s="198" t="str">
        <f t="shared" si="1569"/>
        <v/>
      </c>
      <c r="HY100" s="197" t="str">
        <f t="shared" si="1570"/>
        <v/>
      </c>
      <c r="HZ100" s="232"/>
      <c r="IA100" s="232"/>
      <c r="IB100" s="309">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0" t="str">
        <f t="shared" si="1465"/>
        <v/>
      </c>
      <c r="II100" s="196" t="str">
        <f t="shared" si="1572"/>
        <v/>
      </c>
      <c r="IJ100" s="197" t="str">
        <f t="shared" si="1573"/>
        <v/>
      </c>
      <c r="IK100" s="198" t="str">
        <f t="shared" si="1574"/>
        <v/>
      </c>
      <c r="IL100" s="197" t="str">
        <f t="shared" si="1575"/>
        <v/>
      </c>
      <c r="IM100" s="232"/>
      <c r="IN100" s="232"/>
      <c r="IO100" s="309">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0" t="str">
        <f t="shared" si="1467"/>
        <v/>
      </c>
      <c r="IV100" s="196" t="str">
        <f t="shared" si="1577"/>
        <v/>
      </c>
      <c r="IW100" s="197" t="str">
        <f t="shared" si="1578"/>
        <v/>
      </c>
      <c r="IX100" s="198" t="str">
        <f t="shared" si="1579"/>
        <v/>
      </c>
      <c r="IY100" s="197" t="str">
        <f t="shared" si="1580"/>
        <v/>
      </c>
      <c r="IZ100" s="232"/>
      <c r="JA100" s="232"/>
      <c r="JB100" s="309">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0" t="str">
        <f t="shared" si="1469"/>
        <v/>
      </c>
      <c r="JI100" s="196" t="str">
        <f t="shared" si="1582"/>
        <v/>
      </c>
      <c r="JJ100" s="197" t="str">
        <f t="shared" si="1583"/>
        <v/>
      </c>
      <c r="JK100" s="198" t="str">
        <f t="shared" si="1584"/>
        <v/>
      </c>
      <c r="JL100" s="197" t="str">
        <f t="shared" si="1585"/>
        <v/>
      </c>
      <c r="JM100" s="232"/>
      <c r="JN100" s="232"/>
      <c r="JO100" s="309">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0" t="str">
        <f t="shared" si="1471"/>
        <v/>
      </c>
      <c r="JV100" s="196" t="str">
        <f t="shared" si="1587"/>
        <v/>
      </c>
      <c r="JW100" s="197" t="str">
        <f t="shared" si="1588"/>
        <v/>
      </c>
      <c r="JX100" s="198" t="str">
        <f t="shared" si="1589"/>
        <v/>
      </c>
      <c r="JY100" s="197" t="str">
        <f t="shared" si="1590"/>
        <v/>
      </c>
      <c r="JZ100" s="232"/>
      <c r="KA100" s="232"/>
      <c r="KB100" s="309">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0" t="str">
        <f t="shared" si="1473"/>
        <v/>
      </c>
      <c r="KI100" s="196" t="str">
        <f t="shared" si="1592"/>
        <v/>
      </c>
      <c r="KJ100" s="197" t="str">
        <f t="shared" si="1593"/>
        <v/>
      </c>
      <c r="KK100" s="198" t="str">
        <f t="shared" si="1594"/>
        <v/>
      </c>
      <c r="KL100" s="197" t="str">
        <f t="shared" si="1595"/>
        <v/>
      </c>
      <c r="KM100" s="232"/>
      <c r="KN100" s="232"/>
      <c r="KO100" s="309">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0" t="str">
        <f t="shared" si="1475"/>
        <v/>
      </c>
      <c r="KV100" s="196" t="str">
        <f t="shared" si="1597"/>
        <v/>
      </c>
      <c r="KW100" s="197" t="str">
        <f t="shared" si="1598"/>
        <v/>
      </c>
      <c r="KX100" s="198" t="str">
        <f t="shared" si="1599"/>
        <v/>
      </c>
      <c r="KY100" s="197" t="str">
        <f t="shared" si="1600"/>
        <v/>
      </c>
      <c r="KZ100" s="232"/>
      <c r="LA100" s="232"/>
      <c r="LB100" s="309">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0" t="str">
        <f t="shared" si="1477"/>
        <v/>
      </c>
      <c r="LI100" s="196" t="str">
        <f t="shared" si="1602"/>
        <v/>
      </c>
      <c r="LJ100" s="197" t="str">
        <f t="shared" si="1603"/>
        <v/>
      </c>
      <c r="LK100" s="198" t="str">
        <f t="shared" si="1604"/>
        <v/>
      </c>
      <c r="LL100" s="197" t="str">
        <f t="shared" si="1605"/>
        <v/>
      </c>
      <c r="LM100" s="232"/>
      <c r="LN100" s="232"/>
      <c r="LO100" s="309">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0" t="str">
        <f t="shared" si="1479"/>
        <v/>
      </c>
      <c r="LV100" s="196" t="str">
        <f t="shared" si="1607"/>
        <v/>
      </c>
      <c r="LW100" s="197" t="str">
        <f t="shared" si="1608"/>
        <v/>
      </c>
      <c r="LX100" s="198" t="str">
        <f t="shared" si="1609"/>
        <v/>
      </c>
      <c r="LY100" s="197" t="str">
        <f t="shared" si="1610"/>
        <v/>
      </c>
      <c r="LZ100" s="232"/>
      <c r="MA100" s="232"/>
      <c r="MB100" s="309">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0" t="str">
        <f t="shared" si="1481"/>
        <v/>
      </c>
    </row>
    <row r="101" spans="1:345">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f>
        <v/>
      </c>
      <c r="G101" s="200" t="str">
        <f>IF(AND('World Cup'!$AI$51&lt;&gt;"",'World Cup'!$AJ$51&lt;&gt;""),'World Cup'!$AJ$51,"")</f>
        <v/>
      </c>
      <c r="I101" s="196" t="str">
        <f t="shared" si="1482"/>
        <v/>
      </c>
      <c r="J101" s="197" t="str">
        <f t="shared" si="1483"/>
        <v/>
      </c>
      <c r="K101" s="198" t="str">
        <f t="shared" si="1484"/>
        <v/>
      </c>
      <c r="L101" s="197" t="str">
        <f t="shared" si="1485"/>
        <v/>
      </c>
      <c r="M101" s="232"/>
      <c r="N101" s="232"/>
      <c r="O101" s="309">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0" t="str">
        <f t="shared" si="1431"/>
        <v/>
      </c>
      <c r="V101" s="196" t="str">
        <f t="shared" si="1487"/>
        <v/>
      </c>
      <c r="W101" s="197" t="str">
        <f t="shared" si="1488"/>
        <v/>
      </c>
      <c r="X101" s="198" t="str">
        <f t="shared" si="1489"/>
        <v/>
      </c>
      <c r="Y101" s="197" t="str">
        <f t="shared" si="1490"/>
        <v/>
      </c>
      <c r="Z101" s="232"/>
      <c r="AA101" s="232"/>
      <c r="AB101" s="309">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0" t="str">
        <f t="shared" si="1433"/>
        <v/>
      </c>
      <c r="AI101" s="196" t="str">
        <f t="shared" si="1492"/>
        <v/>
      </c>
      <c r="AJ101" s="197" t="str">
        <f t="shared" si="1493"/>
        <v/>
      </c>
      <c r="AK101" s="198" t="str">
        <f t="shared" si="1494"/>
        <v/>
      </c>
      <c r="AL101" s="197" t="str">
        <f t="shared" si="1495"/>
        <v/>
      </c>
      <c r="AM101" s="232"/>
      <c r="AN101" s="232"/>
      <c r="AO101" s="309">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0" t="str">
        <f t="shared" si="1435"/>
        <v/>
      </c>
      <c r="AV101" s="196" t="str">
        <f t="shared" si="1497"/>
        <v/>
      </c>
      <c r="AW101" s="197" t="str">
        <f t="shared" si="1498"/>
        <v/>
      </c>
      <c r="AX101" s="198" t="str">
        <f t="shared" si="1499"/>
        <v/>
      </c>
      <c r="AY101" s="197" t="str">
        <f t="shared" si="1500"/>
        <v/>
      </c>
      <c r="AZ101" s="232"/>
      <c r="BA101" s="232"/>
      <c r="BB101" s="309">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0" t="str">
        <f t="shared" si="1437"/>
        <v/>
      </c>
      <c r="BI101" s="196" t="str">
        <f t="shared" si="1502"/>
        <v/>
      </c>
      <c r="BJ101" s="197" t="str">
        <f t="shared" si="1503"/>
        <v/>
      </c>
      <c r="BK101" s="198" t="str">
        <f t="shared" si="1504"/>
        <v/>
      </c>
      <c r="BL101" s="197" t="str">
        <f t="shared" si="1505"/>
        <v/>
      </c>
      <c r="BM101" s="232"/>
      <c r="BN101" s="232"/>
      <c r="BO101" s="309">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0" t="str">
        <f t="shared" si="1439"/>
        <v/>
      </c>
      <c r="BV101" s="196" t="str">
        <f t="shared" si="1507"/>
        <v/>
      </c>
      <c r="BW101" s="197" t="str">
        <f t="shared" si="1508"/>
        <v/>
      </c>
      <c r="BX101" s="198" t="str">
        <f t="shared" si="1509"/>
        <v/>
      </c>
      <c r="BY101" s="197" t="str">
        <f t="shared" si="1510"/>
        <v/>
      </c>
      <c r="BZ101" s="232"/>
      <c r="CA101" s="232"/>
      <c r="CB101" s="309">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0" t="str">
        <f t="shared" si="1441"/>
        <v/>
      </c>
      <c r="CI101" s="196" t="str">
        <f t="shared" si="1512"/>
        <v/>
      </c>
      <c r="CJ101" s="197" t="str">
        <f t="shared" si="1513"/>
        <v/>
      </c>
      <c r="CK101" s="198" t="str">
        <f t="shared" si="1514"/>
        <v/>
      </c>
      <c r="CL101" s="197" t="str">
        <f t="shared" si="1515"/>
        <v/>
      </c>
      <c r="CM101" s="232"/>
      <c r="CN101" s="232"/>
      <c r="CO101" s="309">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0" t="str">
        <f t="shared" si="1443"/>
        <v/>
      </c>
      <c r="CV101" s="196" t="str">
        <f t="shared" si="1517"/>
        <v/>
      </c>
      <c r="CW101" s="197" t="str">
        <f t="shared" si="1518"/>
        <v/>
      </c>
      <c r="CX101" s="198" t="str">
        <f t="shared" si="1519"/>
        <v/>
      </c>
      <c r="CY101" s="197" t="str">
        <f t="shared" si="1520"/>
        <v/>
      </c>
      <c r="CZ101" s="232"/>
      <c r="DA101" s="232"/>
      <c r="DB101" s="309">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0" t="str">
        <f t="shared" si="1445"/>
        <v/>
      </c>
      <c r="DI101" s="196" t="str">
        <f t="shared" si="1522"/>
        <v/>
      </c>
      <c r="DJ101" s="197" t="str">
        <f t="shared" si="1523"/>
        <v/>
      </c>
      <c r="DK101" s="198" t="str">
        <f t="shared" si="1524"/>
        <v/>
      </c>
      <c r="DL101" s="197" t="str">
        <f t="shared" si="1525"/>
        <v/>
      </c>
      <c r="DM101" s="232"/>
      <c r="DN101" s="232"/>
      <c r="DO101" s="309">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0" t="str">
        <f t="shared" si="1447"/>
        <v/>
      </c>
      <c r="DV101" s="196" t="str">
        <f t="shared" si="1527"/>
        <v/>
      </c>
      <c r="DW101" s="197" t="str">
        <f t="shared" si="1528"/>
        <v/>
      </c>
      <c r="DX101" s="198" t="str">
        <f t="shared" si="1529"/>
        <v/>
      </c>
      <c r="DY101" s="197" t="str">
        <f t="shared" si="1530"/>
        <v/>
      </c>
      <c r="DZ101" s="232"/>
      <c r="EA101" s="232"/>
      <c r="EB101" s="309">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0" t="str">
        <f t="shared" si="1449"/>
        <v/>
      </c>
      <c r="EI101" s="196" t="str">
        <f t="shared" si="1532"/>
        <v/>
      </c>
      <c r="EJ101" s="197" t="str">
        <f t="shared" si="1533"/>
        <v/>
      </c>
      <c r="EK101" s="198" t="str">
        <f t="shared" si="1534"/>
        <v/>
      </c>
      <c r="EL101" s="197" t="str">
        <f t="shared" si="1535"/>
        <v/>
      </c>
      <c r="EM101" s="232"/>
      <c r="EN101" s="232"/>
      <c r="EO101" s="309">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0" t="str">
        <f t="shared" si="1451"/>
        <v/>
      </c>
      <c r="EV101" s="196" t="str">
        <f t="shared" si="1537"/>
        <v/>
      </c>
      <c r="EW101" s="197" t="str">
        <f t="shared" si="1538"/>
        <v/>
      </c>
      <c r="EX101" s="198" t="str">
        <f t="shared" si="1539"/>
        <v/>
      </c>
      <c r="EY101" s="197" t="str">
        <f t="shared" si="1540"/>
        <v/>
      </c>
      <c r="EZ101" s="232"/>
      <c r="FA101" s="232"/>
      <c r="FB101" s="309">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0" t="str">
        <f t="shared" si="1453"/>
        <v/>
      </c>
      <c r="FI101" s="196" t="str">
        <f t="shared" si="1542"/>
        <v/>
      </c>
      <c r="FJ101" s="197" t="str">
        <f t="shared" si="1543"/>
        <v/>
      </c>
      <c r="FK101" s="198" t="str">
        <f t="shared" si="1544"/>
        <v/>
      </c>
      <c r="FL101" s="197" t="str">
        <f t="shared" si="1545"/>
        <v/>
      </c>
      <c r="FM101" s="232"/>
      <c r="FN101" s="232"/>
      <c r="FO101" s="309">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0" t="str">
        <f t="shared" si="1455"/>
        <v/>
      </c>
      <c r="FV101" s="196" t="str">
        <f t="shared" si="1547"/>
        <v/>
      </c>
      <c r="FW101" s="197" t="str">
        <f t="shared" si="1548"/>
        <v/>
      </c>
      <c r="FX101" s="198" t="str">
        <f t="shared" si="1549"/>
        <v/>
      </c>
      <c r="FY101" s="197" t="str">
        <f t="shared" si="1550"/>
        <v/>
      </c>
      <c r="FZ101" s="232"/>
      <c r="GA101" s="232"/>
      <c r="GB101" s="309">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0" t="str">
        <f t="shared" si="1457"/>
        <v/>
      </c>
      <c r="GI101" s="196" t="str">
        <f t="shared" si="1552"/>
        <v/>
      </c>
      <c r="GJ101" s="197" t="str">
        <f t="shared" si="1553"/>
        <v/>
      </c>
      <c r="GK101" s="198" t="str">
        <f t="shared" si="1554"/>
        <v/>
      </c>
      <c r="GL101" s="197" t="str">
        <f t="shared" si="1555"/>
        <v/>
      </c>
      <c r="GM101" s="232"/>
      <c r="GN101" s="232"/>
      <c r="GO101" s="309">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0" t="str">
        <f t="shared" si="1459"/>
        <v/>
      </c>
      <c r="GV101" s="196" t="str">
        <f t="shared" si="1557"/>
        <v/>
      </c>
      <c r="GW101" s="197" t="str">
        <f t="shared" si="1558"/>
        <v/>
      </c>
      <c r="GX101" s="198" t="str">
        <f t="shared" si="1559"/>
        <v/>
      </c>
      <c r="GY101" s="197" t="str">
        <f t="shared" si="1560"/>
        <v/>
      </c>
      <c r="GZ101" s="232"/>
      <c r="HA101" s="232"/>
      <c r="HB101" s="309">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0" t="str">
        <f t="shared" si="1461"/>
        <v/>
      </c>
      <c r="HI101" s="196" t="str">
        <f t="shared" si="1562"/>
        <v/>
      </c>
      <c r="HJ101" s="197" t="str">
        <f t="shared" si="1563"/>
        <v/>
      </c>
      <c r="HK101" s="198" t="str">
        <f t="shared" si="1564"/>
        <v/>
      </c>
      <c r="HL101" s="197" t="str">
        <f t="shared" si="1565"/>
        <v/>
      </c>
      <c r="HM101" s="232"/>
      <c r="HN101" s="232"/>
      <c r="HO101" s="309">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0" t="str">
        <f t="shared" si="1463"/>
        <v/>
      </c>
      <c r="HV101" s="196" t="str">
        <f t="shared" si="1567"/>
        <v/>
      </c>
      <c r="HW101" s="197" t="str">
        <f t="shared" si="1568"/>
        <v/>
      </c>
      <c r="HX101" s="198" t="str">
        <f t="shared" si="1569"/>
        <v/>
      </c>
      <c r="HY101" s="197" t="str">
        <f t="shared" si="1570"/>
        <v/>
      </c>
      <c r="HZ101" s="232"/>
      <c r="IA101" s="232"/>
      <c r="IB101" s="309">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0" t="str">
        <f t="shared" si="1465"/>
        <v/>
      </c>
      <c r="II101" s="196" t="str">
        <f t="shared" si="1572"/>
        <v/>
      </c>
      <c r="IJ101" s="197" t="str">
        <f t="shared" si="1573"/>
        <v/>
      </c>
      <c r="IK101" s="198" t="str">
        <f t="shared" si="1574"/>
        <v/>
      </c>
      <c r="IL101" s="197" t="str">
        <f t="shared" si="1575"/>
        <v/>
      </c>
      <c r="IM101" s="232"/>
      <c r="IN101" s="232"/>
      <c r="IO101" s="309">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0" t="str">
        <f t="shared" si="1467"/>
        <v/>
      </c>
      <c r="IV101" s="196" t="str">
        <f t="shared" si="1577"/>
        <v/>
      </c>
      <c r="IW101" s="197" t="str">
        <f t="shared" si="1578"/>
        <v/>
      </c>
      <c r="IX101" s="198" t="str">
        <f t="shared" si="1579"/>
        <v/>
      </c>
      <c r="IY101" s="197" t="str">
        <f t="shared" si="1580"/>
        <v/>
      </c>
      <c r="IZ101" s="232"/>
      <c r="JA101" s="232"/>
      <c r="JB101" s="309">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0" t="str">
        <f t="shared" si="1469"/>
        <v/>
      </c>
      <c r="JI101" s="196" t="str">
        <f t="shared" si="1582"/>
        <v/>
      </c>
      <c r="JJ101" s="197" t="str">
        <f t="shared" si="1583"/>
        <v/>
      </c>
      <c r="JK101" s="198" t="str">
        <f t="shared" si="1584"/>
        <v/>
      </c>
      <c r="JL101" s="197" t="str">
        <f t="shared" si="1585"/>
        <v/>
      </c>
      <c r="JM101" s="232"/>
      <c r="JN101" s="232"/>
      <c r="JO101" s="309">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0" t="str">
        <f t="shared" si="1471"/>
        <v/>
      </c>
      <c r="JV101" s="196" t="str">
        <f t="shared" si="1587"/>
        <v/>
      </c>
      <c r="JW101" s="197" t="str">
        <f t="shared" si="1588"/>
        <v/>
      </c>
      <c r="JX101" s="198" t="str">
        <f t="shared" si="1589"/>
        <v/>
      </c>
      <c r="JY101" s="197" t="str">
        <f t="shared" si="1590"/>
        <v/>
      </c>
      <c r="JZ101" s="232"/>
      <c r="KA101" s="232"/>
      <c r="KB101" s="309">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0" t="str">
        <f t="shared" si="1473"/>
        <v/>
      </c>
      <c r="KI101" s="196" t="str">
        <f t="shared" si="1592"/>
        <v/>
      </c>
      <c r="KJ101" s="197" t="str">
        <f t="shared" si="1593"/>
        <v/>
      </c>
      <c r="KK101" s="198" t="str">
        <f t="shared" si="1594"/>
        <v/>
      </c>
      <c r="KL101" s="197" t="str">
        <f t="shared" si="1595"/>
        <v/>
      </c>
      <c r="KM101" s="232"/>
      <c r="KN101" s="232"/>
      <c r="KO101" s="309">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0" t="str">
        <f t="shared" si="1475"/>
        <v/>
      </c>
      <c r="KV101" s="196" t="str">
        <f t="shared" si="1597"/>
        <v/>
      </c>
      <c r="KW101" s="197" t="str">
        <f t="shared" si="1598"/>
        <v/>
      </c>
      <c r="KX101" s="198" t="str">
        <f t="shared" si="1599"/>
        <v/>
      </c>
      <c r="KY101" s="197" t="str">
        <f t="shared" si="1600"/>
        <v/>
      </c>
      <c r="KZ101" s="232"/>
      <c r="LA101" s="232"/>
      <c r="LB101" s="309">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0" t="str">
        <f t="shared" si="1477"/>
        <v/>
      </c>
      <c r="LI101" s="196" t="str">
        <f t="shared" si="1602"/>
        <v/>
      </c>
      <c r="LJ101" s="197" t="str">
        <f t="shared" si="1603"/>
        <v/>
      </c>
      <c r="LK101" s="198" t="str">
        <f t="shared" si="1604"/>
        <v/>
      </c>
      <c r="LL101" s="197" t="str">
        <f t="shared" si="1605"/>
        <v/>
      </c>
      <c r="LM101" s="232"/>
      <c r="LN101" s="232"/>
      <c r="LO101" s="309">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0" t="str">
        <f t="shared" si="1479"/>
        <v/>
      </c>
      <c r="LV101" s="196" t="str">
        <f t="shared" si="1607"/>
        <v/>
      </c>
      <c r="LW101" s="197" t="str">
        <f t="shared" si="1608"/>
        <v/>
      </c>
      <c r="LX101" s="198" t="str">
        <f t="shared" si="1609"/>
        <v/>
      </c>
      <c r="LY101" s="197" t="str">
        <f t="shared" si="1610"/>
        <v/>
      </c>
      <c r="LZ101" s="232"/>
      <c r="MA101" s="232"/>
      <c r="MB101" s="309">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0" t="str">
        <f t="shared" si="1481"/>
        <v/>
      </c>
    </row>
    <row r="102" spans="1:345">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f>
        <v/>
      </c>
      <c r="G102" s="200" t="str">
        <f>IF(AND('World Cup'!$AL$51&lt;&gt;"",'World Cup'!$AM$51&lt;&gt;""),'World Cup'!$AM$51,"")</f>
        <v/>
      </c>
      <c r="I102" s="196" t="str">
        <f t="shared" si="1482"/>
        <v/>
      </c>
      <c r="J102" s="197" t="str">
        <f t="shared" si="1483"/>
        <v/>
      </c>
      <c r="K102" s="198" t="str">
        <f t="shared" si="1484"/>
        <v/>
      </c>
      <c r="L102" s="197" t="str">
        <f t="shared" si="1485"/>
        <v/>
      </c>
      <c r="M102" s="232"/>
      <c r="N102" s="232"/>
      <c r="O102" s="309">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0" t="str">
        <f t="shared" si="1431"/>
        <v/>
      </c>
      <c r="V102" s="196" t="str">
        <f t="shared" si="1487"/>
        <v/>
      </c>
      <c r="W102" s="197" t="str">
        <f t="shared" si="1488"/>
        <v/>
      </c>
      <c r="X102" s="198" t="str">
        <f t="shared" si="1489"/>
        <v/>
      </c>
      <c r="Y102" s="197" t="str">
        <f t="shared" si="1490"/>
        <v/>
      </c>
      <c r="Z102" s="232"/>
      <c r="AA102" s="232"/>
      <c r="AB102" s="309">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0" t="str">
        <f t="shared" si="1433"/>
        <v/>
      </c>
      <c r="AI102" s="196" t="str">
        <f t="shared" si="1492"/>
        <v/>
      </c>
      <c r="AJ102" s="197" t="str">
        <f t="shared" si="1493"/>
        <v/>
      </c>
      <c r="AK102" s="198" t="str">
        <f t="shared" si="1494"/>
        <v/>
      </c>
      <c r="AL102" s="197" t="str">
        <f t="shared" si="1495"/>
        <v/>
      </c>
      <c r="AM102" s="232"/>
      <c r="AN102" s="232"/>
      <c r="AO102" s="309">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0" t="str">
        <f t="shared" si="1435"/>
        <v/>
      </c>
      <c r="AV102" s="196" t="str">
        <f t="shared" si="1497"/>
        <v/>
      </c>
      <c r="AW102" s="197" t="str">
        <f t="shared" si="1498"/>
        <v/>
      </c>
      <c r="AX102" s="198" t="str">
        <f t="shared" si="1499"/>
        <v/>
      </c>
      <c r="AY102" s="197" t="str">
        <f t="shared" si="1500"/>
        <v/>
      </c>
      <c r="AZ102" s="232"/>
      <c r="BA102" s="232"/>
      <c r="BB102" s="309">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0" t="str">
        <f t="shared" si="1437"/>
        <v/>
      </c>
      <c r="BI102" s="196" t="str">
        <f t="shared" si="1502"/>
        <v/>
      </c>
      <c r="BJ102" s="197" t="str">
        <f t="shared" si="1503"/>
        <v/>
      </c>
      <c r="BK102" s="198" t="str">
        <f t="shared" si="1504"/>
        <v/>
      </c>
      <c r="BL102" s="197" t="str">
        <f t="shared" si="1505"/>
        <v/>
      </c>
      <c r="BM102" s="232"/>
      <c r="BN102" s="232"/>
      <c r="BO102" s="309">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0" t="str">
        <f t="shared" si="1439"/>
        <v/>
      </c>
      <c r="BV102" s="196" t="str">
        <f t="shared" si="1507"/>
        <v/>
      </c>
      <c r="BW102" s="197" t="str">
        <f t="shared" si="1508"/>
        <v/>
      </c>
      <c r="BX102" s="198" t="str">
        <f t="shared" si="1509"/>
        <v/>
      </c>
      <c r="BY102" s="197" t="str">
        <f t="shared" si="1510"/>
        <v/>
      </c>
      <c r="BZ102" s="232"/>
      <c r="CA102" s="232"/>
      <c r="CB102" s="309">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0" t="str">
        <f t="shared" si="1441"/>
        <v/>
      </c>
      <c r="CI102" s="196" t="str">
        <f t="shared" si="1512"/>
        <v/>
      </c>
      <c r="CJ102" s="197" t="str">
        <f t="shared" si="1513"/>
        <v/>
      </c>
      <c r="CK102" s="198" t="str">
        <f t="shared" si="1514"/>
        <v/>
      </c>
      <c r="CL102" s="197" t="str">
        <f t="shared" si="1515"/>
        <v/>
      </c>
      <c r="CM102" s="232"/>
      <c r="CN102" s="232"/>
      <c r="CO102" s="309">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0" t="str">
        <f t="shared" si="1443"/>
        <v/>
      </c>
      <c r="CV102" s="196" t="str">
        <f t="shared" si="1517"/>
        <v/>
      </c>
      <c r="CW102" s="197" t="str">
        <f t="shared" si="1518"/>
        <v/>
      </c>
      <c r="CX102" s="198" t="str">
        <f t="shared" si="1519"/>
        <v/>
      </c>
      <c r="CY102" s="197" t="str">
        <f t="shared" si="1520"/>
        <v/>
      </c>
      <c r="CZ102" s="232"/>
      <c r="DA102" s="232"/>
      <c r="DB102" s="309">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0" t="str">
        <f t="shared" si="1445"/>
        <v/>
      </c>
      <c r="DI102" s="196" t="str">
        <f t="shared" si="1522"/>
        <v/>
      </c>
      <c r="DJ102" s="197" t="str">
        <f t="shared" si="1523"/>
        <v/>
      </c>
      <c r="DK102" s="198" t="str">
        <f t="shared" si="1524"/>
        <v/>
      </c>
      <c r="DL102" s="197" t="str">
        <f t="shared" si="1525"/>
        <v/>
      </c>
      <c r="DM102" s="232"/>
      <c r="DN102" s="232"/>
      <c r="DO102" s="309">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0" t="str">
        <f t="shared" si="1447"/>
        <v/>
      </c>
      <c r="DV102" s="196" t="str">
        <f t="shared" si="1527"/>
        <v/>
      </c>
      <c r="DW102" s="197" t="str">
        <f t="shared" si="1528"/>
        <v/>
      </c>
      <c r="DX102" s="198" t="str">
        <f t="shared" si="1529"/>
        <v/>
      </c>
      <c r="DY102" s="197" t="str">
        <f t="shared" si="1530"/>
        <v/>
      </c>
      <c r="DZ102" s="232"/>
      <c r="EA102" s="232"/>
      <c r="EB102" s="309">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0" t="str">
        <f t="shared" si="1449"/>
        <v/>
      </c>
      <c r="EI102" s="196" t="str">
        <f t="shared" si="1532"/>
        <v/>
      </c>
      <c r="EJ102" s="197" t="str">
        <f t="shared" si="1533"/>
        <v/>
      </c>
      <c r="EK102" s="198" t="str">
        <f t="shared" si="1534"/>
        <v/>
      </c>
      <c r="EL102" s="197" t="str">
        <f t="shared" si="1535"/>
        <v/>
      </c>
      <c r="EM102" s="232"/>
      <c r="EN102" s="232"/>
      <c r="EO102" s="309">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0" t="str">
        <f t="shared" si="1451"/>
        <v/>
      </c>
      <c r="EV102" s="196" t="str">
        <f t="shared" si="1537"/>
        <v/>
      </c>
      <c r="EW102" s="197" t="str">
        <f t="shared" si="1538"/>
        <v/>
      </c>
      <c r="EX102" s="198" t="str">
        <f t="shared" si="1539"/>
        <v/>
      </c>
      <c r="EY102" s="197" t="str">
        <f t="shared" si="1540"/>
        <v/>
      </c>
      <c r="EZ102" s="232"/>
      <c r="FA102" s="232"/>
      <c r="FB102" s="309">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0" t="str">
        <f t="shared" si="1453"/>
        <v/>
      </c>
      <c r="FI102" s="196" t="str">
        <f t="shared" si="1542"/>
        <v/>
      </c>
      <c r="FJ102" s="197" t="str">
        <f t="shared" si="1543"/>
        <v/>
      </c>
      <c r="FK102" s="198" t="str">
        <f t="shared" si="1544"/>
        <v/>
      </c>
      <c r="FL102" s="197" t="str">
        <f t="shared" si="1545"/>
        <v/>
      </c>
      <c r="FM102" s="232"/>
      <c r="FN102" s="232"/>
      <c r="FO102" s="309">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0" t="str">
        <f t="shared" si="1455"/>
        <v/>
      </c>
      <c r="FV102" s="196" t="str">
        <f t="shared" si="1547"/>
        <v/>
      </c>
      <c r="FW102" s="197" t="str">
        <f t="shared" si="1548"/>
        <v/>
      </c>
      <c r="FX102" s="198" t="str">
        <f t="shared" si="1549"/>
        <v/>
      </c>
      <c r="FY102" s="197" t="str">
        <f t="shared" si="1550"/>
        <v/>
      </c>
      <c r="FZ102" s="232"/>
      <c r="GA102" s="232"/>
      <c r="GB102" s="309">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0" t="str">
        <f t="shared" si="1457"/>
        <v/>
      </c>
      <c r="GI102" s="196" t="str">
        <f t="shared" si="1552"/>
        <v/>
      </c>
      <c r="GJ102" s="197" t="str">
        <f t="shared" si="1553"/>
        <v/>
      </c>
      <c r="GK102" s="198" t="str">
        <f t="shared" si="1554"/>
        <v/>
      </c>
      <c r="GL102" s="197" t="str">
        <f t="shared" si="1555"/>
        <v/>
      </c>
      <c r="GM102" s="232"/>
      <c r="GN102" s="232"/>
      <c r="GO102" s="309">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0" t="str">
        <f t="shared" si="1459"/>
        <v/>
      </c>
      <c r="GV102" s="196" t="str">
        <f t="shared" si="1557"/>
        <v/>
      </c>
      <c r="GW102" s="197" t="str">
        <f t="shared" si="1558"/>
        <v/>
      </c>
      <c r="GX102" s="198" t="str">
        <f t="shared" si="1559"/>
        <v/>
      </c>
      <c r="GY102" s="197" t="str">
        <f t="shared" si="1560"/>
        <v/>
      </c>
      <c r="GZ102" s="232"/>
      <c r="HA102" s="232"/>
      <c r="HB102" s="309">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0" t="str">
        <f t="shared" si="1461"/>
        <v/>
      </c>
      <c r="HI102" s="196" t="str">
        <f t="shared" si="1562"/>
        <v/>
      </c>
      <c r="HJ102" s="197" t="str">
        <f t="shared" si="1563"/>
        <v/>
      </c>
      <c r="HK102" s="198" t="str">
        <f t="shared" si="1564"/>
        <v/>
      </c>
      <c r="HL102" s="197" t="str">
        <f t="shared" si="1565"/>
        <v/>
      </c>
      <c r="HM102" s="232"/>
      <c r="HN102" s="232"/>
      <c r="HO102" s="309">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0" t="str">
        <f t="shared" si="1463"/>
        <v/>
      </c>
      <c r="HV102" s="196" t="str">
        <f t="shared" si="1567"/>
        <v/>
      </c>
      <c r="HW102" s="197" t="str">
        <f t="shared" si="1568"/>
        <v/>
      </c>
      <c r="HX102" s="198" t="str">
        <f t="shared" si="1569"/>
        <v/>
      </c>
      <c r="HY102" s="197" t="str">
        <f t="shared" si="1570"/>
        <v/>
      </c>
      <c r="HZ102" s="232"/>
      <c r="IA102" s="232"/>
      <c r="IB102" s="309">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0" t="str">
        <f t="shared" si="1465"/>
        <v/>
      </c>
      <c r="II102" s="196" t="str">
        <f t="shared" si="1572"/>
        <v/>
      </c>
      <c r="IJ102" s="197" t="str">
        <f t="shared" si="1573"/>
        <v/>
      </c>
      <c r="IK102" s="198" t="str">
        <f t="shared" si="1574"/>
        <v/>
      </c>
      <c r="IL102" s="197" t="str">
        <f t="shared" si="1575"/>
        <v/>
      </c>
      <c r="IM102" s="232"/>
      <c r="IN102" s="232"/>
      <c r="IO102" s="309">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0" t="str">
        <f t="shared" si="1467"/>
        <v/>
      </c>
      <c r="IV102" s="196" t="str">
        <f t="shared" si="1577"/>
        <v/>
      </c>
      <c r="IW102" s="197" t="str">
        <f t="shared" si="1578"/>
        <v/>
      </c>
      <c r="IX102" s="198" t="str">
        <f t="shared" si="1579"/>
        <v/>
      </c>
      <c r="IY102" s="197" t="str">
        <f t="shared" si="1580"/>
        <v/>
      </c>
      <c r="IZ102" s="232"/>
      <c r="JA102" s="232"/>
      <c r="JB102" s="309">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0" t="str">
        <f t="shared" si="1469"/>
        <v/>
      </c>
      <c r="JI102" s="196" t="str">
        <f t="shared" si="1582"/>
        <v/>
      </c>
      <c r="JJ102" s="197" t="str">
        <f t="shared" si="1583"/>
        <v/>
      </c>
      <c r="JK102" s="198" t="str">
        <f t="shared" si="1584"/>
        <v/>
      </c>
      <c r="JL102" s="197" t="str">
        <f t="shared" si="1585"/>
        <v/>
      </c>
      <c r="JM102" s="232"/>
      <c r="JN102" s="232"/>
      <c r="JO102" s="309">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0" t="str">
        <f t="shared" si="1471"/>
        <v/>
      </c>
      <c r="JV102" s="196" t="str">
        <f t="shared" si="1587"/>
        <v/>
      </c>
      <c r="JW102" s="197" t="str">
        <f t="shared" si="1588"/>
        <v/>
      </c>
      <c r="JX102" s="198" t="str">
        <f t="shared" si="1589"/>
        <v/>
      </c>
      <c r="JY102" s="197" t="str">
        <f t="shared" si="1590"/>
        <v/>
      </c>
      <c r="JZ102" s="232"/>
      <c r="KA102" s="232"/>
      <c r="KB102" s="309">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0" t="str">
        <f t="shared" si="1473"/>
        <v/>
      </c>
      <c r="KI102" s="196" t="str">
        <f t="shared" si="1592"/>
        <v/>
      </c>
      <c r="KJ102" s="197" t="str">
        <f t="shared" si="1593"/>
        <v/>
      </c>
      <c r="KK102" s="198" t="str">
        <f t="shared" si="1594"/>
        <v/>
      </c>
      <c r="KL102" s="197" t="str">
        <f t="shared" si="1595"/>
        <v/>
      </c>
      <c r="KM102" s="232"/>
      <c r="KN102" s="232"/>
      <c r="KO102" s="309">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0" t="str">
        <f t="shared" si="1475"/>
        <v/>
      </c>
      <c r="KV102" s="196" t="str">
        <f t="shared" si="1597"/>
        <v/>
      </c>
      <c r="KW102" s="197" t="str">
        <f t="shared" si="1598"/>
        <v/>
      </c>
      <c r="KX102" s="198" t="str">
        <f t="shared" si="1599"/>
        <v/>
      </c>
      <c r="KY102" s="197" t="str">
        <f t="shared" si="1600"/>
        <v/>
      </c>
      <c r="KZ102" s="232"/>
      <c r="LA102" s="232"/>
      <c r="LB102" s="309">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0" t="str">
        <f t="shared" si="1477"/>
        <v/>
      </c>
      <c r="LI102" s="196" t="str">
        <f t="shared" si="1602"/>
        <v/>
      </c>
      <c r="LJ102" s="197" t="str">
        <f t="shared" si="1603"/>
        <v/>
      </c>
      <c r="LK102" s="198" t="str">
        <f t="shared" si="1604"/>
        <v/>
      </c>
      <c r="LL102" s="197" t="str">
        <f t="shared" si="1605"/>
        <v/>
      </c>
      <c r="LM102" s="232"/>
      <c r="LN102" s="232"/>
      <c r="LO102" s="309">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0" t="str">
        <f t="shared" si="1479"/>
        <v/>
      </c>
      <c r="LV102" s="196" t="str">
        <f t="shared" si="1607"/>
        <v/>
      </c>
      <c r="LW102" s="197" t="str">
        <f t="shared" si="1608"/>
        <v/>
      </c>
      <c r="LX102" s="198" t="str">
        <f t="shared" si="1609"/>
        <v/>
      </c>
      <c r="LY102" s="197" t="str">
        <f t="shared" si="1610"/>
        <v/>
      </c>
      <c r="LZ102" s="232"/>
      <c r="MA102" s="232"/>
      <c r="MB102" s="309">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0" t="str">
        <f t="shared" si="1481"/>
        <v/>
      </c>
    </row>
    <row r="103" spans="1:345">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f>
        <v/>
      </c>
      <c r="G103" s="200" t="str">
        <f>IF(AND('World Cup'!$AO$51&lt;&gt;"",'World Cup'!$AP$51&lt;&gt;""),'World Cup'!$AP$51,"")</f>
        <v/>
      </c>
      <c r="I103" s="196" t="str">
        <f t="shared" si="1482"/>
        <v/>
      </c>
      <c r="J103" s="197" t="str">
        <f t="shared" si="1483"/>
        <v/>
      </c>
      <c r="K103" s="198" t="str">
        <f t="shared" si="1484"/>
        <v/>
      </c>
      <c r="L103" s="197" t="str">
        <f t="shared" si="1485"/>
        <v/>
      </c>
      <c r="M103" s="232"/>
      <c r="N103" s="232"/>
      <c r="O103" s="309">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0" t="str">
        <f t="shared" si="1431"/>
        <v/>
      </c>
      <c r="V103" s="196" t="str">
        <f t="shared" si="1487"/>
        <v/>
      </c>
      <c r="W103" s="197" t="str">
        <f t="shared" si="1488"/>
        <v/>
      </c>
      <c r="X103" s="198" t="str">
        <f t="shared" si="1489"/>
        <v/>
      </c>
      <c r="Y103" s="197" t="str">
        <f t="shared" si="1490"/>
        <v/>
      </c>
      <c r="Z103" s="232"/>
      <c r="AA103" s="232"/>
      <c r="AB103" s="309">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0" t="str">
        <f t="shared" si="1433"/>
        <v/>
      </c>
      <c r="AI103" s="196" t="str">
        <f t="shared" si="1492"/>
        <v/>
      </c>
      <c r="AJ103" s="197" t="str">
        <f t="shared" si="1493"/>
        <v/>
      </c>
      <c r="AK103" s="198" t="str">
        <f t="shared" si="1494"/>
        <v/>
      </c>
      <c r="AL103" s="197" t="str">
        <f t="shared" si="1495"/>
        <v/>
      </c>
      <c r="AM103" s="232"/>
      <c r="AN103" s="232"/>
      <c r="AO103" s="309">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0" t="str">
        <f t="shared" si="1435"/>
        <v/>
      </c>
      <c r="AV103" s="196" t="str">
        <f t="shared" si="1497"/>
        <v/>
      </c>
      <c r="AW103" s="197" t="str">
        <f t="shared" si="1498"/>
        <v/>
      </c>
      <c r="AX103" s="198" t="str">
        <f t="shared" si="1499"/>
        <v/>
      </c>
      <c r="AY103" s="197" t="str">
        <f t="shared" si="1500"/>
        <v/>
      </c>
      <c r="AZ103" s="232"/>
      <c r="BA103" s="232"/>
      <c r="BB103" s="309">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0" t="str">
        <f t="shared" si="1437"/>
        <v/>
      </c>
      <c r="BI103" s="196" t="str">
        <f t="shared" si="1502"/>
        <v/>
      </c>
      <c r="BJ103" s="197" t="str">
        <f t="shared" si="1503"/>
        <v/>
      </c>
      <c r="BK103" s="198" t="str">
        <f t="shared" si="1504"/>
        <v/>
      </c>
      <c r="BL103" s="197" t="str">
        <f t="shared" si="1505"/>
        <v/>
      </c>
      <c r="BM103" s="232"/>
      <c r="BN103" s="232"/>
      <c r="BO103" s="309">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0" t="str">
        <f t="shared" si="1439"/>
        <v/>
      </c>
      <c r="BV103" s="196" t="str">
        <f t="shared" si="1507"/>
        <v/>
      </c>
      <c r="BW103" s="197" t="str">
        <f t="shared" si="1508"/>
        <v/>
      </c>
      <c r="BX103" s="198" t="str">
        <f t="shared" si="1509"/>
        <v/>
      </c>
      <c r="BY103" s="197" t="str">
        <f t="shared" si="1510"/>
        <v/>
      </c>
      <c r="BZ103" s="232"/>
      <c r="CA103" s="232"/>
      <c r="CB103" s="309">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0" t="str">
        <f t="shared" si="1441"/>
        <v/>
      </c>
      <c r="CI103" s="196" t="str">
        <f t="shared" si="1512"/>
        <v/>
      </c>
      <c r="CJ103" s="197" t="str">
        <f t="shared" si="1513"/>
        <v/>
      </c>
      <c r="CK103" s="198" t="str">
        <f t="shared" si="1514"/>
        <v/>
      </c>
      <c r="CL103" s="197" t="str">
        <f t="shared" si="1515"/>
        <v/>
      </c>
      <c r="CM103" s="232"/>
      <c r="CN103" s="232"/>
      <c r="CO103" s="309">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0" t="str">
        <f t="shared" si="1443"/>
        <v/>
      </c>
      <c r="CV103" s="196" t="str">
        <f t="shared" si="1517"/>
        <v/>
      </c>
      <c r="CW103" s="197" t="str">
        <f t="shared" si="1518"/>
        <v/>
      </c>
      <c r="CX103" s="198" t="str">
        <f t="shared" si="1519"/>
        <v/>
      </c>
      <c r="CY103" s="197" t="str">
        <f t="shared" si="1520"/>
        <v/>
      </c>
      <c r="CZ103" s="232"/>
      <c r="DA103" s="232"/>
      <c r="DB103" s="309">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0" t="str">
        <f t="shared" si="1445"/>
        <v/>
      </c>
      <c r="DI103" s="196" t="str">
        <f t="shared" si="1522"/>
        <v/>
      </c>
      <c r="DJ103" s="197" t="str">
        <f t="shared" si="1523"/>
        <v/>
      </c>
      <c r="DK103" s="198" t="str">
        <f t="shared" si="1524"/>
        <v/>
      </c>
      <c r="DL103" s="197" t="str">
        <f t="shared" si="1525"/>
        <v/>
      </c>
      <c r="DM103" s="232"/>
      <c r="DN103" s="232"/>
      <c r="DO103" s="309">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0" t="str">
        <f t="shared" si="1447"/>
        <v/>
      </c>
      <c r="DV103" s="196" t="str">
        <f t="shared" si="1527"/>
        <v/>
      </c>
      <c r="DW103" s="197" t="str">
        <f t="shared" si="1528"/>
        <v/>
      </c>
      <c r="DX103" s="198" t="str">
        <f t="shared" si="1529"/>
        <v/>
      </c>
      <c r="DY103" s="197" t="str">
        <f t="shared" si="1530"/>
        <v/>
      </c>
      <c r="DZ103" s="232"/>
      <c r="EA103" s="232"/>
      <c r="EB103" s="309">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0" t="str">
        <f t="shared" si="1449"/>
        <v/>
      </c>
      <c r="EI103" s="196" t="str">
        <f t="shared" si="1532"/>
        <v/>
      </c>
      <c r="EJ103" s="197" t="str">
        <f t="shared" si="1533"/>
        <v/>
      </c>
      <c r="EK103" s="198" t="str">
        <f t="shared" si="1534"/>
        <v/>
      </c>
      <c r="EL103" s="197" t="str">
        <f t="shared" si="1535"/>
        <v/>
      </c>
      <c r="EM103" s="232"/>
      <c r="EN103" s="232"/>
      <c r="EO103" s="309">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0" t="str">
        <f t="shared" si="1451"/>
        <v/>
      </c>
      <c r="EV103" s="196" t="str">
        <f t="shared" si="1537"/>
        <v/>
      </c>
      <c r="EW103" s="197" t="str">
        <f t="shared" si="1538"/>
        <v/>
      </c>
      <c r="EX103" s="198" t="str">
        <f t="shared" si="1539"/>
        <v/>
      </c>
      <c r="EY103" s="197" t="str">
        <f t="shared" si="1540"/>
        <v/>
      </c>
      <c r="EZ103" s="232"/>
      <c r="FA103" s="232"/>
      <c r="FB103" s="309">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0" t="str">
        <f t="shared" si="1453"/>
        <v/>
      </c>
      <c r="FI103" s="196" t="str">
        <f t="shared" si="1542"/>
        <v/>
      </c>
      <c r="FJ103" s="197" t="str">
        <f t="shared" si="1543"/>
        <v/>
      </c>
      <c r="FK103" s="198" t="str">
        <f t="shared" si="1544"/>
        <v/>
      </c>
      <c r="FL103" s="197" t="str">
        <f t="shared" si="1545"/>
        <v/>
      </c>
      <c r="FM103" s="232"/>
      <c r="FN103" s="232"/>
      <c r="FO103" s="309">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0" t="str">
        <f t="shared" si="1455"/>
        <v/>
      </c>
      <c r="FV103" s="196" t="str">
        <f t="shared" si="1547"/>
        <v/>
      </c>
      <c r="FW103" s="197" t="str">
        <f t="shared" si="1548"/>
        <v/>
      </c>
      <c r="FX103" s="198" t="str">
        <f t="shared" si="1549"/>
        <v/>
      </c>
      <c r="FY103" s="197" t="str">
        <f t="shared" si="1550"/>
        <v/>
      </c>
      <c r="FZ103" s="232"/>
      <c r="GA103" s="232"/>
      <c r="GB103" s="309">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0" t="str">
        <f t="shared" si="1457"/>
        <v/>
      </c>
      <c r="GI103" s="196" t="str">
        <f t="shared" si="1552"/>
        <v/>
      </c>
      <c r="GJ103" s="197" t="str">
        <f t="shared" si="1553"/>
        <v/>
      </c>
      <c r="GK103" s="198" t="str">
        <f t="shared" si="1554"/>
        <v/>
      </c>
      <c r="GL103" s="197" t="str">
        <f t="shared" si="1555"/>
        <v/>
      </c>
      <c r="GM103" s="232"/>
      <c r="GN103" s="232"/>
      <c r="GO103" s="309">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0" t="str">
        <f t="shared" si="1459"/>
        <v/>
      </c>
      <c r="GV103" s="196" t="str">
        <f t="shared" si="1557"/>
        <v/>
      </c>
      <c r="GW103" s="197" t="str">
        <f t="shared" si="1558"/>
        <v/>
      </c>
      <c r="GX103" s="198" t="str">
        <f t="shared" si="1559"/>
        <v/>
      </c>
      <c r="GY103" s="197" t="str">
        <f t="shared" si="1560"/>
        <v/>
      </c>
      <c r="GZ103" s="232"/>
      <c r="HA103" s="232"/>
      <c r="HB103" s="309">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0" t="str">
        <f t="shared" si="1461"/>
        <v/>
      </c>
      <c r="HI103" s="196" t="str">
        <f t="shared" si="1562"/>
        <v/>
      </c>
      <c r="HJ103" s="197" t="str">
        <f t="shared" si="1563"/>
        <v/>
      </c>
      <c r="HK103" s="198" t="str">
        <f t="shared" si="1564"/>
        <v/>
      </c>
      <c r="HL103" s="197" t="str">
        <f t="shared" si="1565"/>
        <v/>
      </c>
      <c r="HM103" s="232"/>
      <c r="HN103" s="232"/>
      <c r="HO103" s="309">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0" t="str">
        <f t="shared" si="1463"/>
        <v/>
      </c>
      <c r="HV103" s="196" t="str">
        <f t="shared" si="1567"/>
        <v/>
      </c>
      <c r="HW103" s="197" t="str">
        <f t="shared" si="1568"/>
        <v/>
      </c>
      <c r="HX103" s="198" t="str">
        <f t="shared" si="1569"/>
        <v/>
      </c>
      <c r="HY103" s="197" t="str">
        <f t="shared" si="1570"/>
        <v/>
      </c>
      <c r="HZ103" s="232"/>
      <c r="IA103" s="232"/>
      <c r="IB103" s="309">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0" t="str">
        <f t="shared" si="1465"/>
        <v/>
      </c>
      <c r="II103" s="196" t="str">
        <f t="shared" si="1572"/>
        <v/>
      </c>
      <c r="IJ103" s="197" t="str">
        <f t="shared" si="1573"/>
        <v/>
      </c>
      <c r="IK103" s="198" t="str">
        <f t="shared" si="1574"/>
        <v/>
      </c>
      <c r="IL103" s="197" t="str">
        <f t="shared" si="1575"/>
        <v/>
      </c>
      <c r="IM103" s="232"/>
      <c r="IN103" s="232"/>
      <c r="IO103" s="309">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0" t="str">
        <f t="shared" si="1467"/>
        <v/>
      </c>
      <c r="IV103" s="196" t="str">
        <f t="shared" si="1577"/>
        <v/>
      </c>
      <c r="IW103" s="197" t="str">
        <f t="shared" si="1578"/>
        <v/>
      </c>
      <c r="IX103" s="198" t="str">
        <f t="shared" si="1579"/>
        <v/>
      </c>
      <c r="IY103" s="197" t="str">
        <f t="shared" si="1580"/>
        <v/>
      </c>
      <c r="IZ103" s="232"/>
      <c r="JA103" s="232"/>
      <c r="JB103" s="309">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0" t="str">
        <f t="shared" si="1469"/>
        <v/>
      </c>
      <c r="JI103" s="196" t="str">
        <f t="shared" si="1582"/>
        <v/>
      </c>
      <c r="JJ103" s="197" t="str">
        <f t="shared" si="1583"/>
        <v/>
      </c>
      <c r="JK103" s="198" t="str">
        <f t="shared" si="1584"/>
        <v/>
      </c>
      <c r="JL103" s="197" t="str">
        <f t="shared" si="1585"/>
        <v/>
      </c>
      <c r="JM103" s="232"/>
      <c r="JN103" s="232"/>
      <c r="JO103" s="309">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0" t="str">
        <f t="shared" si="1471"/>
        <v/>
      </c>
      <c r="JV103" s="196" t="str">
        <f t="shared" si="1587"/>
        <v/>
      </c>
      <c r="JW103" s="197" t="str">
        <f t="shared" si="1588"/>
        <v/>
      </c>
      <c r="JX103" s="198" t="str">
        <f t="shared" si="1589"/>
        <v/>
      </c>
      <c r="JY103" s="197" t="str">
        <f t="shared" si="1590"/>
        <v/>
      </c>
      <c r="JZ103" s="232"/>
      <c r="KA103" s="232"/>
      <c r="KB103" s="309">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0" t="str">
        <f t="shared" si="1473"/>
        <v/>
      </c>
      <c r="KI103" s="196" t="str">
        <f t="shared" si="1592"/>
        <v/>
      </c>
      <c r="KJ103" s="197" t="str">
        <f t="shared" si="1593"/>
        <v/>
      </c>
      <c r="KK103" s="198" t="str">
        <f t="shared" si="1594"/>
        <v/>
      </c>
      <c r="KL103" s="197" t="str">
        <f t="shared" si="1595"/>
        <v/>
      </c>
      <c r="KM103" s="232"/>
      <c r="KN103" s="232"/>
      <c r="KO103" s="309">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0" t="str">
        <f t="shared" si="1475"/>
        <v/>
      </c>
      <c r="KV103" s="196" t="str">
        <f t="shared" si="1597"/>
        <v/>
      </c>
      <c r="KW103" s="197" t="str">
        <f t="shared" si="1598"/>
        <v/>
      </c>
      <c r="KX103" s="198" t="str">
        <f t="shared" si="1599"/>
        <v/>
      </c>
      <c r="KY103" s="197" t="str">
        <f t="shared" si="1600"/>
        <v/>
      </c>
      <c r="KZ103" s="232"/>
      <c r="LA103" s="232"/>
      <c r="LB103" s="309">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0" t="str">
        <f t="shared" si="1477"/>
        <v/>
      </c>
      <c r="LI103" s="196" t="str">
        <f t="shared" si="1602"/>
        <v/>
      </c>
      <c r="LJ103" s="197" t="str">
        <f t="shared" si="1603"/>
        <v/>
      </c>
      <c r="LK103" s="198" t="str">
        <f t="shared" si="1604"/>
        <v/>
      </c>
      <c r="LL103" s="197" t="str">
        <f t="shared" si="1605"/>
        <v/>
      </c>
      <c r="LM103" s="232"/>
      <c r="LN103" s="232"/>
      <c r="LO103" s="309">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0" t="str">
        <f t="shared" si="1479"/>
        <v/>
      </c>
      <c r="LV103" s="196" t="str">
        <f t="shared" si="1607"/>
        <v/>
      </c>
      <c r="LW103" s="197" t="str">
        <f t="shared" si="1608"/>
        <v/>
      </c>
      <c r="LX103" s="198" t="str">
        <f t="shared" si="1609"/>
        <v/>
      </c>
      <c r="LY103" s="197" t="str">
        <f t="shared" si="1610"/>
        <v/>
      </c>
      <c r="LZ103" s="232"/>
      <c r="MA103" s="232"/>
      <c r="MB103" s="309">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0" t="str">
        <f t="shared" si="1481"/>
        <v/>
      </c>
    </row>
    <row r="104" spans="1:345">
      <c r="B104" s="196" t="str">
        <f>IF(C104="","",INDEX(Groups!$C$7:$C$65,MATCH(C104,Groups!$D$7:$D$65,0)))</f>
        <v/>
      </c>
      <c r="C104" s="197" t="str">
        <f>'World Cup'!$AR$50</f>
        <v/>
      </c>
      <c r="D104" s="198" t="str">
        <f>IF(E104="","",INDEX(Groups!$C$7:$C$65,MATCH(E104,Groups!$D$7:$D$65,0)))</f>
        <v/>
      </c>
      <c r="E104" s="197" t="str">
        <f>'World Cup'!$AS$50</f>
        <v/>
      </c>
      <c r="F104" s="199" t="str">
        <f>IF(AND('World Cup'!$AR$51&lt;&gt;"",'World Cup'!$AS$51&lt;&gt;""),'World Cup'!$AR$51,"")</f>
        <v/>
      </c>
      <c r="G104" s="200" t="str">
        <f>IF(AND('World Cup'!$AR$51&lt;&gt;"",'World Cup'!$AS$51&lt;&gt;""),'World Cup'!$AS$51,"")</f>
        <v/>
      </c>
      <c r="I104" s="196" t="str">
        <f t="shared" si="1482"/>
        <v/>
      </c>
      <c r="J104" s="197" t="str">
        <f t="shared" si="1483"/>
        <v/>
      </c>
      <c r="K104" s="198" t="str">
        <f t="shared" si="1484"/>
        <v/>
      </c>
      <c r="L104" s="197" t="str">
        <f t="shared" si="1485"/>
        <v/>
      </c>
      <c r="M104" s="232"/>
      <c r="N104" s="232"/>
      <c r="O104" s="309">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0" t="str">
        <f t="shared" si="1431"/>
        <v/>
      </c>
      <c r="V104" s="196" t="str">
        <f t="shared" si="1487"/>
        <v/>
      </c>
      <c r="W104" s="197" t="str">
        <f t="shared" si="1488"/>
        <v/>
      </c>
      <c r="X104" s="198" t="str">
        <f t="shared" si="1489"/>
        <v/>
      </c>
      <c r="Y104" s="197" t="str">
        <f t="shared" si="1490"/>
        <v/>
      </c>
      <c r="Z104" s="232"/>
      <c r="AA104" s="232"/>
      <c r="AB104" s="309">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0" t="str">
        <f t="shared" si="1433"/>
        <v/>
      </c>
      <c r="AI104" s="196" t="str">
        <f t="shared" si="1492"/>
        <v/>
      </c>
      <c r="AJ104" s="197" t="str">
        <f t="shared" si="1493"/>
        <v/>
      </c>
      <c r="AK104" s="198" t="str">
        <f t="shared" si="1494"/>
        <v/>
      </c>
      <c r="AL104" s="197" t="str">
        <f t="shared" si="1495"/>
        <v/>
      </c>
      <c r="AM104" s="232"/>
      <c r="AN104" s="232"/>
      <c r="AO104" s="309">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0" t="str">
        <f t="shared" si="1435"/>
        <v/>
      </c>
      <c r="AV104" s="196" t="str">
        <f t="shared" si="1497"/>
        <v/>
      </c>
      <c r="AW104" s="197" t="str">
        <f t="shared" si="1498"/>
        <v/>
      </c>
      <c r="AX104" s="198" t="str">
        <f t="shared" si="1499"/>
        <v/>
      </c>
      <c r="AY104" s="197" t="str">
        <f t="shared" si="1500"/>
        <v/>
      </c>
      <c r="AZ104" s="232"/>
      <c r="BA104" s="232"/>
      <c r="BB104" s="309">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0" t="str">
        <f t="shared" si="1437"/>
        <v/>
      </c>
      <c r="BI104" s="196" t="str">
        <f t="shared" si="1502"/>
        <v/>
      </c>
      <c r="BJ104" s="197" t="str">
        <f t="shared" si="1503"/>
        <v/>
      </c>
      <c r="BK104" s="198" t="str">
        <f t="shared" si="1504"/>
        <v/>
      </c>
      <c r="BL104" s="197" t="str">
        <f t="shared" si="1505"/>
        <v/>
      </c>
      <c r="BM104" s="232"/>
      <c r="BN104" s="232"/>
      <c r="BO104" s="309">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0" t="str">
        <f t="shared" si="1439"/>
        <v/>
      </c>
      <c r="BV104" s="196" t="str">
        <f t="shared" si="1507"/>
        <v/>
      </c>
      <c r="BW104" s="197" t="str">
        <f t="shared" si="1508"/>
        <v/>
      </c>
      <c r="BX104" s="198" t="str">
        <f t="shared" si="1509"/>
        <v/>
      </c>
      <c r="BY104" s="197" t="str">
        <f t="shared" si="1510"/>
        <v/>
      </c>
      <c r="BZ104" s="232"/>
      <c r="CA104" s="232"/>
      <c r="CB104" s="309">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0" t="str">
        <f t="shared" si="1441"/>
        <v/>
      </c>
      <c r="CI104" s="196" t="str">
        <f t="shared" si="1512"/>
        <v/>
      </c>
      <c r="CJ104" s="197" t="str">
        <f t="shared" si="1513"/>
        <v/>
      </c>
      <c r="CK104" s="198" t="str">
        <f t="shared" si="1514"/>
        <v/>
      </c>
      <c r="CL104" s="197" t="str">
        <f t="shared" si="1515"/>
        <v/>
      </c>
      <c r="CM104" s="232"/>
      <c r="CN104" s="232"/>
      <c r="CO104" s="309">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0" t="str">
        <f t="shared" si="1443"/>
        <v/>
      </c>
      <c r="CV104" s="196" t="str">
        <f t="shared" si="1517"/>
        <v/>
      </c>
      <c r="CW104" s="197" t="str">
        <f t="shared" si="1518"/>
        <v/>
      </c>
      <c r="CX104" s="198" t="str">
        <f t="shared" si="1519"/>
        <v/>
      </c>
      <c r="CY104" s="197" t="str">
        <f t="shared" si="1520"/>
        <v/>
      </c>
      <c r="CZ104" s="232"/>
      <c r="DA104" s="232"/>
      <c r="DB104" s="309">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0" t="str">
        <f t="shared" si="1445"/>
        <v/>
      </c>
      <c r="DI104" s="196" t="str">
        <f t="shared" si="1522"/>
        <v/>
      </c>
      <c r="DJ104" s="197" t="str">
        <f t="shared" si="1523"/>
        <v/>
      </c>
      <c r="DK104" s="198" t="str">
        <f t="shared" si="1524"/>
        <v/>
      </c>
      <c r="DL104" s="197" t="str">
        <f t="shared" si="1525"/>
        <v/>
      </c>
      <c r="DM104" s="232"/>
      <c r="DN104" s="232"/>
      <c r="DO104" s="309">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0" t="str">
        <f t="shared" si="1447"/>
        <v/>
      </c>
      <c r="DV104" s="196" t="str">
        <f t="shared" si="1527"/>
        <v/>
      </c>
      <c r="DW104" s="197" t="str">
        <f t="shared" si="1528"/>
        <v/>
      </c>
      <c r="DX104" s="198" t="str">
        <f t="shared" si="1529"/>
        <v/>
      </c>
      <c r="DY104" s="197" t="str">
        <f t="shared" si="1530"/>
        <v/>
      </c>
      <c r="DZ104" s="232"/>
      <c r="EA104" s="232"/>
      <c r="EB104" s="309">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0" t="str">
        <f t="shared" si="1449"/>
        <v/>
      </c>
      <c r="EI104" s="196" t="str">
        <f t="shared" si="1532"/>
        <v/>
      </c>
      <c r="EJ104" s="197" t="str">
        <f t="shared" si="1533"/>
        <v/>
      </c>
      <c r="EK104" s="198" t="str">
        <f t="shared" si="1534"/>
        <v/>
      </c>
      <c r="EL104" s="197" t="str">
        <f t="shared" si="1535"/>
        <v/>
      </c>
      <c r="EM104" s="232"/>
      <c r="EN104" s="232"/>
      <c r="EO104" s="309">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0" t="str">
        <f t="shared" si="1451"/>
        <v/>
      </c>
      <c r="EV104" s="196" t="str">
        <f t="shared" si="1537"/>
        <v/>
      </c>
      <c r="EW104" s="197" t="str">
        <f t="shared" si="1538"/>
        <v/>
      </c>
      <c r="EX104" s="198" t="str">
        <f t="shared" si="1539"/>
        <v/>
      </c>
      <c r="EY104" s="197" t="str">
        <f t="shared" si="1540"/>
        <v/>
      </c>
      <c r="EZ104" s="232"/>
      <c r="FA104" s="232"/>
      <c r="FB104" s="309">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0" t="str">
        <f t="shared" si="1453"/>
        <v/>
      </c>
      <c r="FI104" s="196" t="str">
        <f t="shared" si="1542"/>
        <v/>
      </c>
      <c r="FJ104" s="197" t="str">
        <f t="shared" si="1543"/>
        <v/>
      </c>
      <c r="FK104" s="198" t="str">
        <f t="shared" si="1544"/>
        <v/>
      </c>
      <c r="FL104" s="197" t="str">
        <f t="shared" si="1545"/>
        <v/>
      </c>
      <c r="FM104" s="232"/>
      <c r="FN104" s="232"/>
      <c r="FO104" s="309">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0" t="str">
        <f t="shared" si="1455"/>
        <v/>
      </c>
      <c r="FV104" s="196" t="str">
        <f t="shared" si="1547"/>
        <v/>
      </c>
      <c r="FW104" s="197" t="str">
        <f t="shared" si="1548"/>
        <v/>
      </c>
      <c r="FX104" s="198" t="str">
        <f t="shared" si="1549"/>
        <v/>
      </c>
      <c r="FY104" s="197" t="str">
        <f t="shared" si="1550"/>
        <v/>
      </c>
      <c r="FZ104" s="232"/>
      <c r="GA104" s="232"/>
      <c r="GB104" s="309">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0" t="str">
        <f t="shared" si="1457"/>
        <v/>
      </c>
      <c r="GI104" s="196" t="str">
        <f t="shared" si="1552"/>
        <v/>
      </c>
      <c r="GJ104" s="197" t="str">
        <f t="shared" si="1553"/>
        <v/>
      </c>
      <c r="GK104" s="198" t="str">
        <f t="shared" si="1554"/>
        <v/>
      </c>
      <c r="GL104" s="197" t="str">
        <f t="shared" si="1555"/>
        <v/>
      </c>
      <c r="GM104" s="232"/>
      <c r="GN104" s="232"/>
      <c r="GO104" s="309">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0" t="str">
        <f t="shared" si="1459"/>
        <v/>
      </c>
      <c r="GV104" s="196" t="str">
        <f t="shared" si="1557"/>
        <v/>
      </c>
      <c r="GW104" s="197" t="str">
        <f t="shared" si="1558"/>
        <v/>
      </c>
      <c r="GX104" s="198" t="str">
        <f t="shared" si="1559"/>
        <v/>
      </c>
      <c r="GY104" s="197" t="str">
        <f t="shared" si="1560"/>
        <v/>
      </c>
      <c r="GZ104" s="232"/>
      <c r="HA104" s="232"/>
      <c r="HB104" s="309">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0" t="str">
        <f t="shared" si="1461"/>
        <v/>
      </c>
      <c r="HI104" s="196" t="str">
        <f t="shared" si="1562"/>
        <v/>
      </c>
      <c r="HJ104" s="197" t="str">
        <f t="shared" si="1563"/>
        <v/>
      </c>
      <c r="HK104" s="198" t="str">
        <f t="shared" si="1564"/>
        <v/>
      </c>
      <c r="HL104" s="197" t="str">
        <f t="shared" si="1565"/>
        <v/>
      </c>
      <c r="HM104" s="232"/>
      <c r="HN104" s="232"/>
      <c r="HO104" s="309">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0" t="str">
        <f t="shared" si="1463"/>
        <v/>
      </c>
      <c r="HV104" s="196" t="str">
        <f t="shared" si="1567"/>
        <v/>
      </c>
      <c r="HW104" s="197" t="str">
        <f t="shared" si="1568"/>
        <v/>
      </c>
      <c r="HX104" s="198" t="str">
        <f t="shared" si="1569"/>
        <v/>
      </c>
      <c r="HY104" s="197" t="str">
        <f t="shared" si="1570"/>
        <v/>
      </c>
      <c r="HZ104" s="232"/>
      <c r="IA104" s="232"/>
      <c r="IB104" s="309">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0" t="str">
        <f t="shared" si="1465"/>
        <v/>
      </c>
      <c r="II104" s="196" t="str">
        <f t="shared" si="1572"/>
        <v/>
      </c>
      <c r="IJ104" s="197" t="str">
        <f t="shared" si="1573"/>
        <v/>
      </c>
      <c r="IK104" s="198" t="str">
        <f t="shared" si="1574"/>
        <v/>
      </c>
      <c r="IL104" s="197" t="str">
        <f t="shared" si="1575"/>
        <v/>
      </c>
      <c r="IM104" s="232"/>
      <c r="IN104" s="232"/>
      <c r="IO104" s="309">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0" t="str">
        <f t="shared" si="1467"/>
        <v/>
      </c>
      <c r="IV104" s="196" t="str">
        <f t="shared" si="1577"/>
        <v/>
      </c>
      <c r="IW104" s="197" t="str">
        <f t="shared" si="1578"/>
        <v/>
      </c>
      <c r="IX104" s="198" t="str">
        <f t="shared" si="1579"/>
        <v/>
      </c>
      <c r="IY104" s="197" t="str">
        <f t="shared" si="1580"/>
        <v/>
      </c>
      <c r="IZ104" s="232"/>
      <c r="JA104" s="232"/>
      <c r="JB104" s="309">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0" t="str">
        <f t="shared" si="1469"/>
        <v/>
      </c>
      <c r="JI104" s="196" t="str">
        <f t="shared" si="1582"/>
        <v/>
      </c>
      <c r="JJ104" s="197" t="str">
        <f t="shared" si="1583"/>
        <v/>
      </c>
      <c r="JK104" s="198" t="str">
        <f t="shared" si="1584"/>
        <v/>
      </c>
      <c r="JL104" s="197" t="str">
        <f t="shared" si="1585"/>
        <v/>
      </c>
      <c r="JM104" s="232"/>
      <c r="JN104" s="232"/>
      <c r="JO104" s="309">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0" t="str">
        <f t="shared" si="1471"/>
        <v/>
      </c>
      <c r="JV104" s="196" t="str">
        <f t="shared" si="1587"/>
        <v/>
      </c>
      <c r="JW104" s="197" t="str">
        <f t="shared" si="1588"/>
        <v/>
      </c>
      <c r="JX104" s="198" t="str">
        <f t="shared" si="1589"/>
        <v/>
      </c>
      <c r="JY104" s="197" t="str">
        <f t="shared" si="1590"/>
        <v/>
      </c>
      <c r="JZ104" s="232"/>
      <c r="KA104" s="232"/>
      <c r="KB104" s="309">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0" t="str">
        <f t="shared" si="1473"/>
        <v/>
      </c>
      <c r="KI104" s="196" t="str">
        <f t="shared" si="1592"/>
        <v/>
      </c>
      <c r="KJ104" s="197" t="str">
        <f t="shared" si="1593"/>
        <v/>
      </c>
      <c r="KK104" s="198" t="str">
        <f t="shared" si="1594"/>
        <v/>
      </c>
      <c r="KL104" s="197" t="str">
        <f t="shared" si="1595"/>
        <v/>
      </c>
      <c r="KM104" s="232"/>
      <c r="KN104" s="232"/>
      <c r="KO104" s="309">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0" t="str">
        <f t="shared" si="1475"/>
        <v/>
      </c>
      <c r="KV104" s="196" t="str">
        <f t="shared" si="1597"/>
        <v/>
      </c>
      <c r="KW104" s="197" t="str">
        <f t="shared" si="1598"/>
        <v/>
      </c>
      <c r="KX104" s="198" t="str">
        <f t="shared" si="1599"/>
        <v/>
      </c>
      <c r="KY104" s="197" t="str">
        <f t="shared" si="1600"/>
        <v/>
      </c>
      <c r="KZ104" s="232"/>
      <c r="LA104" s="232"/>
      <c r="LB104" s="309">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0" t="str">
        <f t="shared" si="1477"/>
        <v/>
      </c>
      <c r="LI104" s="196" t="str">
        <f t="shared" si="1602"/>
        <v/>
      </c>
      <c r="LJ104" s="197" t="str">
        <f t="shared" si="1603"/>
        <v/>
      </c>
      <c r="LK104" s="198" t="str">
        <f t="shared" si="1604"/>
        <v/>
      </c>
      <c r="LL104" s="197" t="str">
        <f t="shared" si="1605"/>
        <v/>
      </c>
      <c r="LM104" s="232"/>
      <c r="LN104" s="232"/>
      <c r="LO104" s="309">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0" t="str">
        <f t="shared" si="1479"/>
        <v/>
      </c>
      <c r="LV104" s="196" t="str">
        <f t="shared" si="1607"/>
        <v/>
      </c>
      <c r="LW104" s="197" t="str">
        <f t="shared" si="1608"/>
        <v/>
      </c>
      <c r="LX104" s="198" t="str">
        <f t="shared" si="1609"/>
        <v/>
      </c>
      <c r="LY104" s="197" t="str">
        <f t="shared" si="1610"/>
        <v/>
      </c>
      <c r="LZ104" s="232"/>
      <c r="MA104" s="232"/>
      <c r="MB104" s="309">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0" t="str">
        <f t="shared" si="1481"/>
        <v/>
      </c>
    </row>
    <row r="105" spans="1:345">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f>
        <v/>
      </c>
      <c r="G105" s="200" t="str">
        <f>IF(AND('World Cup'!$AU$51&lt;&gt;"",'World Cup'!$AV$51&lt;&gt;""),'World Cup'!$AV$51,"")</f>
        <v/>
      </c>
      <c r="I105" s="196" t="str">
        <f t="shared" si="1482"/>
        <v/>
      </c>
      <c r="J105" s="197" t="str">
        <f t="shared" si="1483"/>
        <v/>
      </c>
      <c r="K105" s="198" t="str">
        <f t="shared" si="1484"/>
        <v/>
      </c>
      <c r="L105" s="197" t="str">
        <f t="shared" si="1485"/>
        <v/>
      </c>
      <c r="M105" s="232"/>
      <c r="N105" s="232"/>
      <c r="O105" s="309">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0" t="str">
        <f t="shared" si="1431"/>
        <v/>
      </c>
      <c r="V105" s="196" t="str">
        <f t="shared" si="1487"/>
        <v/>
      </c>
      <c r="W105" s="197" t="str">
        <f t="shared" si="1488"/>
        <v/>
      </c>
      <c r="X105" s="198" t="str">
        <f t="shared" si="1489"/>
        <v/>
      </c>
      <c r="Y105" s="197" t="str">
        <f t="shared" si="1490"/>
        <v/>
      </c>
      <c r="Z105" s="232"/>
      <c r="AA105" s="232"/>
      <c r="AB105" s="309">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0" t="str">
        <f t="shared" si="1433"/>
        <v/>
      </c>
      <c r="AI105" s="196" t="str">
        <f t="shared" si="1492"/>
        <v/>
      </c>
      <c r="AJ105" s="197" t="str">
        <f t="shared" si="1493"/>
        <v/>
      </c>
      <c r="AK105" s="198" t="str">
        <f t="shared" si="1494"/>
        <v/>
      </c>
      <c r="AL105" s="197" t="str">
        <f t="shared" si="1495"/>
        <v/>
      </c>
      <c r="AM105" s="232"/>
      <c r="AN105" s="232"/>
      <c r="AO105" s="309">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0" t="str">
        <f t="shared" si="1435"/>
        <v/>
      </c>
      <c r="AV105" s="196" t="str">
        <f t="shared" si="1497"/>
        <v/>
      </c>
      <c r="AW105" s="197" t="str">
        <f t="shared" si="1498"/>
        <v/>
      </c>
      <c r="AX105" s="198" t="str">
        <f t="shared" si="1499"/>
        <v/>
      </c>
      <c r="AY105" s="197" t="str">
        <f t="shared" si="1500"/>
        <v/>
      </c>
      <c r="AZ105" s="232"/>
      <c r="BA105" s="232"/>
      <c r="BB105" s="309">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0" t="str">
        <f t="shared" si="1437"/>
        <v/>
      </c>
      <c r="BI105" s="196" t="str">
        <f t="shared" si="1502"/>
        <v/>
      </c>
      <c r="BJ105" s="197" t="str">
        <f t="shared" si="1503"/>
        <v/>
      </c>
      <c r="BK105" s="198" t="str">
        <f t="shared" si="1504"/>
        <v/>
      </c>
      <c r="BL105" s="197" t="str">
        <f t="shared" si="1505"/>
        <v/>
      </c>
      <c r="BM105" s="232"/>
      <c r="BN105" s="232"/>
      <c r="BO105" s="309">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0" t="str">
        <f t="shared" si="1439"/>
        <v/>
      </c>
      <c r="BV105" s="196" t="str">
        <f t="shared" si="1507"/>
        <v/>
      </c>
      <c r="BW105" s="197" t="str">
        <f t="shared" si="1508"/>
        <v/>
      </c>
      <c r="BX105" s="198" t="str">
        <f t="shared" si="1509"/>
        <v/>
      </c>
      <c r="BY105" s="197" t="str">
        <f t="shared" si="1510"/>
        <v/>
      </c>
      <c r="BZ105" s="232"/>
      <c r="CA105" s="232"/>
      <c r="CB105" s="309">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0" t="str">
        <f t="shared" si="1441"/>
        <v/>
      </c>
      <c r="CI105" s="196" t="str">
        <f t="shared" si="1512"/>
        <v/>
      </c>
      <c r="CJ105" s="197" t="str">
        <f t="shared" si="1513"/>
        <v/>
      </c>
      <c r="CK105" s="198" t="str">
        <f t="shared" si="1514"/>
        <v/>
      </c>
      <c r="CL105" s="197" t="str">
        <f t="shared" si="1515"/>
        <v/>
      </c>
      <c r="CM105" s="232"/>
      <c r="CN105" s="232"/>
      <c r="CO105" s="309">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0" t="str">
        <f t="shared" si="1443"/>
        <v/>
      </c>
      <c r="CV105" s="196" t="str">
        <f t="shared" si="1517"/>
        <v/>
      </c>
      <c r="CW105" s="197" t="str">
        <f t="shared" si="1518"/>
        <v/>
      </c>
      <c r="CX105" s="198" t="str">
        <f t="shared" si="1519"/>
        <v/>
      </c>
      <c r="CY105" s="197" t="str">
        <f t="shared" si="1520"/>
        <v/>
      </c>
      <c r="CZ105" s="232"/>
      <c r="DA105" s="232"/>
      <c r="DB105" s="309">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0" t="str">
        <f t="shared" si="1445"/>
        <v/>
      </c>
      <c r="DI105" s="196" t="str">
        <f t="shared" si="1522"/>
        <v/>
      </c>
      <c r="DJ105" s="197" t="str">
        <f t="shared" si="1523"/>
        <v/>
      </c>
      <c r="DK105" s="198" t="str">
        <f t="shared" si="1524"/>
        <v/>
      </c>
      <c r="DL105" s="197" t="str">
        <f t="shared" si="1525"/>
        <v/>
      </c>
      <c r="DM105" s="232"/>
      <c r="DN105" s="232"/>
      <c r="DO105" s="309">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0" t="str">
        <f t="shared" si="1447"/>
        <v/>
      </c>
      <c r="DV105" s="196" t="str">
        <f t="shared" si="1527"/>
        <v/>
      </c>
      <c r="DW105" s="197" t="str">
        <f t="shared" si="1528"/>
        <v/>
      </c>
      <c r="DX105" s="198" t="str">
        <f t="shared" si="1529"/>
        <v/>
      </c>
      <c r="DY105" s="197" t="str">
        <f t="shared" si="1530"/>
        <v/>
      </c>
      <c r="DZ105" s="232"/>
      <c r="EA105" s="232"/>
      <c r="EB105" s="309">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0" t="str">
        <f t="shared" si="1449"/>
        <v/>
      </c>
      <c r="EI105" s="196" t="str">
        <f t="shared" si="1532"/>
        <v/>
      </c>
      <c r="EJ105" s="197" t="str">
        <f t="shared" si="1533"/>
        <v/>
      </c>
      <c r="EK105" s="198" t="str">
        <f t="shared" si="1534"/>
        <v/>
      </c>
      <c r="EL105" s="197" t="str">
        <f t="shared" si="1535"/>
        <v/>
      </c>
      <c r="EM105" s="232"/>
      <c r="EN105" s="232"/>
      <c r="EO105" s="309">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0" t="str">
        <f t="shared" si="1451"/>
        <v/>
      </c>
      <c r="EV105" s="196" t="str">
        <f t="shared" si="1537"/>
        <v/>
      </c>
      <c r="EW105" s="197" t="str">
        <f t="shared" si="1538"/>
        <v/>
      </c>
      <c r="EX105" s="198" t="str">
        <f t="shared" si="1539"/>
        <v/>
      </c>
      <c r="EY105" s="197" t="str">
        <f t="shared" si="1540"/>
        <v/>
      </c>
      <c r="EZ105" s="232"/>
      <c r="FA105" s="232"/>
      <c r="FB105" s="309">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0" t="str">
        <f t="shared" si="1453"/>
        <v/>
      </c>
      <c r="FI105" s="196" t="str">
        <f t="shared" si="1542"/>
        <v/>
      </c>
      <c r="FJ105" s="197" t="str">
        <f t="shared" si="1543"/>
        <v/>
      </c>
      <c r="FK105" s="198" t="str">
        <f t="shared" si="1544"/>
        <v/>
      </c>
      <c r="FL105" s="197" t="str">
        <f t="shared" si="1545"/>
        <v/>
      </c>
      <c r="FM105" s="232"/>
      <c r="FN105" s="232"/>
      <c r="FO105" s="309">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0" t="str">
        <f t="shared" si="1455"/>
        <v/>
      </c>
      <c r="FV105" s="196" t="str">
        <f t="shared" si="1547"/>
        <v/>
      </c>
      <c r="FW105" s="197" t="str">
        <f t="shared" si="1548"/>
        <v/>
      </c>
      <c r="FX105" s="198" t="str">
        <f t="shared" si="1549"/>
        <v/>
      </c>
      <c r="FY105" s="197" t="str">
        <f t="shared" si="1550"/>
        <v/>
      </c>
      <c r="FZ105" s="232"/>
      <c r="GA105" s="232"/>
      <c r="GB105" s="309">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0" t="str">
        <f t="shared" si="1457"/>
        <v/>
      </c>
      <c r="GI105" s="196" t="str">
        <f t="shared" si="1552"/>
        <v/>
      </c>
      <c r="GJ105" s="197" t="str">
        <f t="shared" si="1553"/>
        <v/>
      </c>
      <c r="GK105" s="198" t="str">
        <f t="shared" si="1554"/>
        <v/>
      </c>
      <c r="GL105" s="197" t="str">
        <f t="shared" si="1555"/>
        <v/>
      </c>
      <c r="GM105" s="232"/>
      <c r="GN105" s="232"/>
      <c r="GO105" s="309">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0" t="str">
        <f t="shared" si="1459"/>
        <v/>
      </c>
      <c r="GV105" s="196" t="str">
        <f t="shared" si="1557"/>
        <v/>
      </c>
      <c r="GW105" s="197" t="str">
        <f t="shared" si="1558"/>
        <v/>
      </c>
      <c r="GX105" s="198" t="str">
        <f t="shared" si="1559"/>
        <v/>
      </c>
      <c r="GY105" s="197" t="str">
        <f t="shared" si="1560"/>
        <v/>
      </c>
      <c r="GZ105" s="232"/>
      <c r="HA105" s="232"/>
      <c r="HB105" s="309">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0" t="str">
        <f t="shared" si="1461"/>
        <v/>
      </c>
      <c r="HI105" s="196" t="str">
        <f t="shared" si="1562"/>
        <v/>
      </c>
      <c r="HJ105" s="197" t="str">
        <f t="shared" si="1563"/>
        <v/>
      </c>
      <c r="HK105" s="198" t="str">
        <f t="shared" si="1564"/>
        <v/>
      </c>
      <c r="HL105" s="197" t="str">
        <f t="shared" si="1565"/>
        <v/>
      </c>
      <c r="HM105" s="232"/>
      <c r="HN105" s="232"/>
      <c r="HO105" s="309">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0" t="str">
        <f t="shared" si="1463"/>
        <v/>
      </c>
      <c r="HV105" s="196" t="str">
        <f t="shared" si="1567"/>
        <v/>
      </c>
      <c r="HW105" s="197" t="str">
        <f t="shared" si="1568"/>
        <v/>
      </c>
      <c r="HX105" s="198" t="str">
        <f t="shared" si="1569"/>
        <v/>
      </c>
      <c r="HY105" s="197" t="str">
        <f t="shared" si="1570"/>
        <v/>
      </c>
      <c r="HZ105" s="232"/>
      <c r="IA105" s="232"/>
      <c r="IB105" s="309">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0" t="str">
        <f t="shared" si="1465"/>
        <v/>
      </c>
      <c r="II105" s="196" t="str">
        <f t="shared" si="1572"/>
        <v/>
      </c>
      <c r="IJ105" s="197" t="str">
        <f t="shared" si="1573"/>
        <v/>
      </c>
      <c r="IK105" s="198" t="str">
        <f t="shared" si="1574"/>
        <v/>
      </c>
      <c r="IL105" s="197" t="str">
        <f t="shared" si="1575"/>
        <v/>
      </c>
      <c r="IM105" s="232"/>
      <c r="IN105" s="232"/>
      <c r="IO105" s="309">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0" t="str">
        <f t="shared" si="1467"/>
        <v/>
      </c>
      <c r="IV105" s="196" t="str">
        <f t="shared" si="1577"/>
        <v/>
      </c>
      <c r="IW105" s="197" t="str">
        <f t="shared" si="1578"/>
        <v/>
      </c>
      <c r="IX105" s="198" t="str">
        <f t="shared" si="1579"/>
        <v/>
      </c>
      <c r="IY105" s="197" t="str">
        <f t="shared" si="1580"/>
        <v/>
      </c>
      <c r="IZ105" s="232"/>
      <c r="JA105" s="232"/>
      <c r="JB105" s="309">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0" t="str">
        <f t="shared" si="1469"/>
        <v/>
      </c>
      <c r="JI105" s="196" t="str">
        <f t="shared" si="1582"/>
        <v/>
      </c>
      <c r="JJ105" s="197" t="str">
        <f t="shared" si="1583"/>
        <v/>
      </c>
      <c r="JK105" s="198" t="str">
        <f t="shared" si="1584"/>
        <v/>
      </c>
      <c r="JL105" s="197" t="str">
        <f t="shared" si="1585"/>
        <v/>
      </c>
      <c r="JM105" s="232"/>
      <c r="JN105" s="232"/>
      <c r="JO105" s="309">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0" t="str">
        <f t="shared" si="1471"/>
        <v/>
      </c>
      <c r="JV105" s="196" t="str">
        <f t="shared" si="1587"/>
        <v/>
      </c>
      <c r="JW105" s="197" t="str">
        <f t="shared" si="1588"/>
        <v/>
      </c>
      <c r="JX105" s="198" t="str">
        <f t="shared" si="1589"/>
        <v/>
      </c>
      <c r="JY105" s="197" t="str">
        <f t="shared" si="1590"/>
        <v/>
      </c>
      <c r="JZ105" s="232"/>
      <c r="KA105" s="232"/>
      <c r="KB105" s="309">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0" t="str">
        <f t="shared" si="1473"/>
        <v/>
      </c>
      <c r="KI105" s="196" t="str">
        <f t="shared" si="1592"/>
        <v/>
      </c>
      <c r="KJ105" s="197" t="str">
        <f t="shared" si="1593"/>
        <v/>
      </c>
      <c r="KK105" s="198" t="str">
        <f t="shared" si="1594"/>
        <v/>
      </c>
      <c r="KL105" s="197" t="str">
        <f t="shared" si="1595"/>
        <v/>
      </c>
      <c r="KM105" s="232"/>
      <c r="KN105" s="232"/>
      <c r="KO105" s="309">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0" t="str">
        <f t="shared" si="1475"/>
        <v/>
      </c>
      <c r="KV105" s="196" t="str">
        <f t="shared" si="1597"/>
        <v/>
      </c>
      <c r="KW105" s="197" t="str">
        <f t="shared" si="1598"/>
        <v/>
      </c>
      <c r="KX105" s="198" t="str">
        <f t="shared" si="1599"/>
        <v/>
      </c>
      <c r="KY105" s="197" t="str">
        <f t="shared" si="1600"/>
        <v/>
      </c>
      <c r="KZ105" s="232"/>
      <c r="LA105" s="232"/>
      <c r="LB105" s="309">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0" t="str">
        <f t="shared" si="1477"/>
        <v/>
      </c>
      <c r="LI105" s="196" t="str">
        <f t="shared" si="1602"/>
        <v/>
      </c>
      <c r="LJ105" s="197" t="str">
        <f t="shared" si="1603"/>
        <v/>
      </c>
      <c r="LK105" s="198" t="str">
        <f t="shared" si="1604"/>
        <v/>
      </c>
      <c r="LL105" s="197" t="str">
        <f t="shared" si="1605"/>
        <v/>
      </c>
      <c r="LM105" s="232"/>
      <c r="LN105" s="232"/>
      <c r="LO105" s="309">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0" t="str">
        <f t="shared" si="1479"/>
        <v/>
      </c>
      <c r="LV105" s="196" t="str">
        <f t="shared" si="1607"/>
        <v/>
      </c>
      <c r="LW105" s="197" t="str">
        <f t="shared" si="1608"/>
        <v/>
      </c>
      <c r="LX105" s="198" t="str">
        <f t="shared" si="1609"/>
        <v/>
      </c>
      <c r="LY105" s="197" t="str">
        <f t="shared" si="1610"/>
        <v/>
      </c>
      <c r="LZ105" s="232"/>
      <c r="MA105" s="232"/>
      <c r="MB105" s="309">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0" t="str">
        <f t="shared" si="1481"/>
        <v/>
      </c>
    </row>
    <row r="106" spans="1:345" s="22" customFormat="1" ht="24" customHeight="1">
      <c r="A106" s="193"/>
      <c r="B106" s="205" t="str">
        <f>Language!$E$215</f>
        <v>Achtste finale</v>
      </c>
      <c r="C106" s="211"/>
      <c r="D106" s="211"/>
      <c r="E106" s="208"/>
      <c r="F106" s="212"/>
      <c r="G106" s="213"/>
      <c r="I106" s="205" t="str">
        <f t="shared" si="1404"/>
        <v>Achtste finale</v>
      </c>
      <c r="J106" s="207"/>
      <c r="K106" s="207"/>
      <c r="L106" s="208"/>
      <c r="M106" s="236"/>
      <c r="N106" s="237"/>
      <c r="O106" s="209"/>
      <c r="P106" s="220"/>
      <c r="Q106" s="220"/>
      <c r="R106" s="208"/>
      <c r="S106" s="208"/>
      <c r="T106" s="221"/>
      <c r="V106" s="205" t="str">
        <f t="shared" si="1405"/>
        <v>Achtste finale</v>
      </c>
      <c r="W106" s="207"/>
      <c r="X106" s="207"/>
      <c r="Y106" s="208"/>
      <c r="Z106" s="236"/>
      <c r="AA106" s="237"/>
      <c r="AB106" s="209"/>
      <c r="AC106" s="220"/>
      <c r="AD106" s="220"/>
      <c r="AE106" s="208"/>
      <c r="AF106" s="208"/>
      <c r="AG106" s="221"/>
      <c r="AI106" s="205" t="str">
        <f t="shared" si="1406"/>
        <v>Achtste finale</v>
      </c>
      <c r="AJ106" s="207"/>
      <c r="AK106" s="207"/>
      <c r="AL106" s="208"/>
      <c r="AM106" s="236"/>
      <c r="AN106" s="237"/>
      <c r="AO106" s="209"/>
      <c r="AP106" s="220"/>
      <c r="AQ106" s="220"/>
      <c r="AR106" s="208"/>
      <c r="AS106" s="208"/>
      <c r="AT106" s="221"/>
      <c r="AV106" s="205" t="str">
        <f t="shared" si="1407"/>
        <v>Achtste finale</v>
      </c>
      <c r="AW106" s="207"/>
      <c r="AX106" s="207"/>
      <c r="AY106" s="208"/>
      <c r="AZ106" s="236"/>
      <c r="BA106" s="237"/>
      <c r="BB106" s="209"/>
      <c r="BC106" s="220"/>
      <c r="BD106" s="220"/>
      <c r="BE106" s="208"/>
      <c r="BF106" s="208"/>
      <c r="BG106" s="221"/>
      <c r="BI106" s="205" t="str">
        <f t="shared" si="1408"/>
        <v>Achtste finale</v>
      </c>
      <c r="BJ106" s="207"/>
      <c r="BK106" s="207"/>
      <c r="BL106" s="208"/>
      <c r="BM106" s="236"/>
      <c r="BN106" s="237"/>
      <c r="BO106" s="209"/>
      <c r="BP106" s="220"/>
      <c r="BQ106" s="220"/>
      <c r="BR106" s="208"/>
      <c r="BS106" s="208"/>
      <c r="BT106" s="221"/>
      <c r="BV106" s="205" t="str">
        <f t="shared" si="1409"/>
        <v>Achtste finale</v>
      </c>
      <c r="BW106" s="207"/>
      <c r="BX106" s="207"/>
      <c r="BY106" s="208"/>
      <c r="BZ106" s="236"/>
      <c r="CA106" s="237"/>
      <c r="CB106" s="209"/>
      <c r="CC106" s="220"/>
      <c r="CD106" s="220"/>
      <c r="CE106" s="208"/>
      <c r="CF106" s="208"/>
      <c r="CG106" s="221"/>
      <c r="CI106" s="205" t="str">
        <f t="shared" si="1410"/>
        <v>Achtste finale</v>
      </c>
      <c r="CJ106" s="207"/>
      <c r="CK106" s="207"/>
      <c r="CL106" s="208"/>
      <c r="CM106" s="236"/>
      <c r="CN106" s="237"/>
      <c r="CO106" s="209"/>
      <c r="CP106" s="220"/>
      <c r="CQ106" s="220"/>
      <c r="CR106" s="208"/>
      <c r="CS106" s="208"/>
      <c r="CT106" s="221"/>
      <c r="CV106" s="205" t="str">
        <f t="shared" si="1411"/>
        <v>Achtste finale</v>
      </c>
      <c r="CW106" s="207"/>
      <c r="CX106" s="207"/>
      <c r="CY106" s="208"/>
      <c r="CZ106" s="236"/>
      <c r="DA106" s="237"/>
      <c r="DB106" s="209"/>
      <c r="DC106" s="220"/>
      <c r="DD106" s="220"/>
      <c r="DE106" s="208"/>
      <c r="DF106" s="208"/>
      <c r="DG106" s="221"/>
      <c r="DI106" s="205" t="str">
        <f t="shared" si="1412"/>
        <v>Achtste finale</v>
      </c>
      <c r="DJ106" s="207"/>
      <c r="DK106" s="207"/>
      <c r="DL106" s="208"/>
      <c r="DM106" s="236"/>
      <c r="DN106" s="237"/>
      <c r="DO106" s="209"/>
      <c r="DP106" s="220"/>
      <c r="DQ106" s="220"/>
      <c r="DR106" s="208"/>
      <c r="DS106" s="208"/>
      <c r="DT106" s="221"/>
      <c r="DV106" s="205" t="str">
        <f t="shared" si="1413"/>
        <v>Achtste finale</v>
      </c>
      <c r="DW106" s="207"/>
      <c r="DX106" s="207"/>
      <c r="DY106" s="208"/>
      <c r="DZ106" s="236"/>
      <c r="EA106" s="237"/>
      <c r="EB106" s="209"/>
      <c r="EC106" s="220"/>
      <c r="ED106" s="220"/>
      <c r="EE106" s="208"/>
      <c r="EF106" s="208"/>
      <c r="EG106" s="221"/>
      <c r="EI106" s="205" t="str">
        <f t="shared" si="1414"/>
        <v>Achtste finale</v>
      </c>
      <c r="EJ106" s="207"/>
      <c r="EK106" s="207"/>
      <c r="EL106" s="208"/>
      <c r="EM106" s="236"/>
      <c r="EN106" s="237"/>
      <c r="EO106" s="209"/>
      <c r="EP106" s="220"/>
      <c r="EQ106" s="220"/>
      <c r="ER106" s="208"/>
      <c r="ES106" s="208"/>
      <c r="ET106" s="221"/>
      <c r="EV106" s="205" t="str">
        <f t="shared" si="1415"/>
        <v>Achtste finale</v>
      </c>
      <c r="EW106" s="207"/>
      <c r="EX106" s="207"/>
      <c r="EY106" s="208"/>
      <c r="EZ106" s="236"/>
      <c r="FA106" s="237"/>
      <c r="FB106" s="209"/>
      <c r="FC106" s="220"/>
      <c r="FD106" s="220"/>
      <c r="FE106" s="208"/>
      <c r="FF106" s="208"/>
      <c r="FG106" s="221"/>
      <c r="FI106" s="205" t="str">
        <f t="shared" si="1416"/>
        <v>Achtste finale</v>
      </c>
      <c r="FJ106" s="207"/>
      <c r="FK106" s="207"/>
      <c r="FL106" s="208"/>
      <c r="FM106" s="236"/>
      <c r="FN106" s="237"/>
      <c r="FO106" s="209"/>
      <c r="FP106" s="220"/>
      <c r="FQ106" s="220"/>
      <c r="FR106" s="208"/>
      <c r="FS106" s="208"/>
      <c r="FT106" s="221"/>
      <c r="FV106" s="205" t="str">
        <f t="shared" si="1417"/>
        <v>Achtste finale</v>
      </c>
      <c r="FW106" s="207"/>
      <c r="FX106" s="207"/>
      <c r="FY106" s="208"/>
      <c r="FZ106" s="236"/>
      <c r="GA106" s="237"/>
      <c r="GB106" s="209"/>
      <c r="GC106" s="220"/>
      <c r="GD106" s="220"/>
      <c r="GE106" s="208"/>
      <c r="GF106" s="208"/>
      <c r="GG106" s="221"/>
      <c r="GI106" s="205" t="str">
        <f t="shared" si="1418"/>
        <v>Achtste finale</v>
      </c>
      <c r="GJ106" s="207"/>
      <c r="GK106" s="207"/>
      <c r="GL106" s="208"/>
      <c r="GM106" s="236"/>
      <c r="GN106" s="237"/>
      <c r="GO106" s="209"/>
      <c r="GP106" s="220"/>
      <c r="GQ106" s="220"/>
      <c r="GR106" s="208"/>
      <c r="GS106" s="208"/>
      <c r="GT106" s="221"/>
      <c r="GV106" s="205" t="str">
        <f t="shared" si="1419"/>
        <v>Achtste finale</v>
      </c>
      <c r="GW106" s="207"/>
      <c r="GX106" s="207"/>
      <c r="GY106" s="208"/>
      <c r="GZ106" s="236"/>
      <c r="HA106" s="237"/>
      <c r="HB106" s="209"/>
      <c r="HC106" s="220"/>
      <c r="HD106" s="220"/>
      <c r="HE106" s="208"/>
      <c r="HF106" s="208"/>
      <c r="HG106" s="221"/>
      <c r="HI106" s="205" t="str">
        <f t="shared" si="1420"/>
        <v>Achtste finale</v>
      </c>
      <c r="HJ106" s="207"/>
      <c r="HK106" s="207"/>
      <c r="HL106" s="208"/>
      <c r="HM106" s="236"/>
      <c r="HN106" s="237"/>
      <c r="HO106" s="209"/>
      <c r="HP106" s="220"/>
      <c r="HQ106" s="220"/>
      <c r="HR106" s="208"/>
      <c r="HS106" s="208"/>
      <c r="HT106" s="221"/>
      <c r="HV106" s="205" t="str">
        <f t="shared" si="1421"/>
        <v>Achtste finale</v>
      </c>
      <c r="HW106" s="207"/>
      <c r="HX106" s="207"/>
      <c r="HY106" s="208"/>
      <c r="HZ106" s="236"/>
      <c r="IA106" s="237"/>
      <c r="IB106" s="209"/>
      <c r="IC106" s="220"/>
      <c r="ID106" s="220"/>
      <c r="IE106" s="208"/>
      <c r="IF106" s="208"/>
      <c r="IG106" s="221"/>
      <c r="II106" s="205" t="str">
        <f t="shared" si="1422"/>
        <v>Achtste finale</v>
      </c>
      <c r="IJ106" s="207"/>
      <c r="IK106" s="207"/>
      <c r="IL106" s="208"/>
      <c r="IM106" s="236"/>
      <c r="IN106" s="237"/>
      <c r="IO106" s="209"/>
      <c r="IP106" s="220"/>
      <c r="IQ106" s="220"/>
      <c r="IR106" s="208"/>
      <c r="IS106" s="208"/>
      <c r="IT106" s="221"/>
      <c r="IV106" s="205" t="str">
        <f t="shared" si="1423"/>
        <v>Achtste finale</v>
      </c>
      <c r="IW106" s="207"/>
      <c r="IX106" s="207"/>
      <c r="IY106" s="208"/>
      <c r="IZ106" s="236"/>
      <c r="JA106" s="237"/>
      <c r="JB106" s="209"/>
      <c r="JC106" s="220"/>
      <c r="JD106" s="220"/>
      <c r="JE106" s="208"/>
      <c r="JF106" s="208"/>
      <c r="JG106" s="221"/>
      <c r="JI106" s="205" t="str">
        <f t="shared" si="1424"/>
        <v>Achtste finale</v>
      </c>
      <c r="JJ106" s="207"/>
      <c r="JK106" s="207"/>
      <c r="JL106" s="208"/>
      <c r="JM106" s="236"/>
      <c r="JN106" s="237"/>
      <c r="JO106" s="209"/>
      <c r="JP106" s="220"/>
      <c r="JQ106" s="220"/>
      <c r="JR106" s="208"/>
      <c r="JS106" s="208"/>
      <c r="JT106" s="221"/>
      <c r="JV106" s="205" t="str">
        <f t="shared" si="1425"/>
        <v>Achtste finale</v>
      </c>
      <c r="JW106" s="207"/>
      <c r="JX106" s="207"/>
      <c r="JY106" s="208"/>
      <c r="JZ106" s="236"/>
      <c r="KA106" s="237"/>
      <c r="KB106" s="209"/>
      <c r="KC106" s="220"/>
      <c r="KD106" s="220"/>
      <c r="KE106" s="208"/>
      <c r="KF106" s="208"/>
      <c r="KG106" s="221"/>
      <c r="KI106" s="205" t="str">
        <f t="shared" si="1426"/>
        <v>Achtste finale</v>
      </c>
      <c r="KJ106" s="207"/>
      <c r="KK106" s="207"/>
      <c r="KL106" s="208"/>
      <c r="KM106" s="236"/>
      <c r="KN106" s="237"/>
      <c r="KO106" s="209"/>
      <c r="KP106" s="220"/>
      <c r="KQ106" s="220"/>
      <c r="KR106" s="208"/>
      <c r="KS106" s="208"/>
      <c r="KT106" s="221"/>
      <c r="KV106" s="205" t="str">
        <f t="shared" si="1427"/>
        <v>Achtste finale</v>
      </c>
      <c r="KW106" s="207"/>
      <c r="KX106" s="207"/>
      <c r="KY106" s="208"/>
      <c r="KZ106" s="236"/>
      <c r="LA106" s="237"/>
      <c r="LB106" s="209"/>
      <c r="LC106" s="220"/>
      <c r="LD106" s="220"/>
      <c r="LE106" s="208"/>
      <c r="LF106" s="208"/>
      <c r="LG106" s="221"/>
      <c r="LI106" s="205" t="str">
        <f t="shared" si="1428"/>
        <v>Achtste finale</v>
      </c>
      <c r="LJ106" s="207"/>
      <c r="LK106" s="207"/>
      <c r="LL106" s="208"/>
      <c r="LM106" s="236"/>
      <c r="LN106" s="237"/>
      <c r="LO106" s="209"/>
      <c r="LP106" s="220"/>
      <c r="LQ106" s="220"/>
      <c r="LR106" s="208"/>
      <c r="LS106" s="208"/>
      <c r="LT106" s="221"/>
      <c r="LV106" s="205" t="str">
        <f t="shared" si="1429"/>
        <v>Achtste finale</v>
      </c>
      <c r="LW106" s="207"/>
      <c r="LX106" s="207"/>
      <c r="LY106" s="208"/>
      <c r="LZ106" s="236"/>
      <c r="MA106" s="237"/>
      <c r="MB106" s="209"/>
      <c r="MC106" s="220"/>
      <c r="MD106" s="220"/>
      <c r="ME106" s="208"/>
      <c r="MF106" s="208"/>
      <c r="MG106" s="221"/>
    </row>
    <row r="107" spans="1:345" s="22" customFormat="1">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0">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0">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0">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0">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0">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0">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0">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0">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0">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0">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0">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0">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0">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0">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0">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0">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0">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0">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0">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0">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0">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0">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0">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0">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0">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0">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09">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09">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09">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09">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09">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09">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09">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09">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09">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09">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09">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09">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09">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09">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09">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09">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09">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09">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09">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09">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09">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09">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09">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09">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09">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09">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09">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09">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09">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09">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09">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09">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09">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09">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09">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09">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09">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09">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09">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09">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09">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09">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09">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09">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09">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09">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09">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09">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09">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09">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09">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09">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09">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09">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09">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09">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09">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09">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09">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09">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09">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09">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09">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09">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09">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09">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09">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09">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09">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09">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09">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09">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09">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09">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09">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09">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09">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09">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09">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09">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09">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09">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09">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09">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09">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09">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09">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09">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09">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09">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09">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09">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09">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09">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09">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09">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09">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09">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09">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09">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09">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09">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09">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09">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09">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09">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09">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09">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09">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09">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09">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09">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09">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09">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09">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09">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09">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09">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09">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09">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09">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09">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09">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09">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09">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09">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09">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09">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09">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09">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09">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09">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09">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09">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09">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09">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09">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09">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09">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09">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09">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09">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09">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09">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09">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09">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09">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09">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09">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09">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09">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09">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09">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09">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09">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09">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09">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09">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09">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09">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09">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09">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09">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09">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09">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09">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09">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09">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09">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09">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09">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09">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09">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09">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09">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09">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09">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09">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09">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09">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09">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09">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c r="A115" s="193"/>
      <c r="B115" s="205" t="str">
        <f>Language!$E$216</f>
        <v>Kwart finale</v>
      </c>
      <c r="C115" s="211"/>
      <c r="D115" s="211"/>
      <c r="E115" s="208"/>
      <c r="F115" s="212"/>
      <c r="G115" s="213"/>
      <c r="I115" s="205" t="str">
        <f>$B115</f>
        <v>Kwart finale</v>
      </c>
      <c r="J115" s="207"/>
      <c r="K115" s="207"/>
      <c r="L115" s="208"/>
      <c r="M115" s="236"/>
      <c r="N115" s="237"/>
      <c r="O115" s="209"/>
      <c r="P115" s="209"/>
      <c r="Q115" s="220"/>
      <c r="R115" s="208"/>
      <c r="S115" s="208"/>
      <c r="T115" s="221"/>
      <c r="V115" s="205" t="str">
        <f>$B115</f>
        <v>Kwart finale</v>
      </c>
      <c r="W115" s="207"/>
      <c r="X115" s="207"/>
      <c r="Y115" s="208"/>
      <c r="Z115" s="236"/>
      <c r="AA115" s="237"/>
      <c r="AB115" s="209"/>
      <c r="AC115" s="209"/>
      <c r="AD115" s="220"/>
      <c r="AE115" s="208"/>
      <c r="AF115" s="208"/>
      <c r="AG115" s="221"/>
      <c r="AI115" s="205" t="str">
        <f>$B115</f>
        <v>Kwart finale</v>
      </c>
      <c r="AJ115" s="207"/>
      <c r="AK115" s="207"/>
      <c r="AL115" s="208"/>
      <c r="AM115" s="236"/>
      <c r="AN115" s="237"/>
      <c r="AO115" s="209"/>
      <c r="AP115" s="209"/>
      <c r="AQ115" s="220"/>
      <c r="AR115" s="208"/>
      <c r="AS115" s="208"/>
      <c r="AT115" s="221"/>
      <c r="AV115" s="205" t="str">
        <f>$B115</f>
        <v>Kwart finale</v>
      </c>
      <c r="AW115" s="207"/>
      <c r="AX115" s="207"/>
      <c r="AY115" s="208"/>
      <c r="AZ115" s="236"/>
      <c r="BA115" s="237"/>
      <c r="BB115" s="209"/>
      <c r="BC115" s="209"/>
      <c r="BD115" s="220"/>
      <c r="BE115" s="208"/>
      <c r="BF115" s="208"/>
      <c r="BG115" s="221"/>
      <c r="BI115" s="205" t="str">
        <f>$B115</f>
        <v>Kwart finale</v>
      </c>
      <c r="BJ115" s="207"/>
      <c r="BK115" s="207"/>
      <c r="BL115" s="208"/>
      <c r="BM115" s="236"/>
      <c r="BN115" s="237"/>
      <c r="BO115" s="209"/>
      <c r="BP115" s="209"/>
      <c r="BQ115" s="220"/>
      <c r="BR115" s="208"/>
      <c r="BS115" s="208"/>
      <c r="BT115" s="221"/>
      <c r="BV115" s="205" t="str">
        <f>$B115</f>
        <v>Kwart finale</v>
      </c>
      <c r="BW115" s="207"/>
      <c r="BX115" s="207"/>
      <c r="BY115" s="208"/>
      <c r="BZ115" s="236"/>
      <c r="CA115" s="237"/>
      <c r="CB115" s="209"/>
      <c r="CC115" s="209"/>
      <c r="CD115" s="220"/>
      <c r="CE115" s="208"/>
      <c r="CF115" s="208"/>
      <c r="CG115" s="221"/>
      <c r="CI115" s="205" t="str">
        <f>$B115</f>
        <v>Kwart finale</v>
      </c>
      <c r="CJ115" s="207"/>
      <c r="CK115" s="207"/>
      <c r="CL115" s="208"/>
      <c r="CM115" s="236"/>
      <c r="CN115" s="237"/>
      <c r="CO115" s="209"/>
      <c r="CP115" s="209"/>
      <c r="CQ115" s="220"/>
      <c r="CR115" s="208"/>
      <c r="CS115" s="208"/>
      <c r="CT115" s="221"/>
      <c r="CV115" s="205" t="str">
        <f>$B115</f>
        <v>Kwart finale</v>
      </c>
      <c r="CW115" s="207"/>
      <c r="CX115" s="207"/>
      <c r="CY115" s="208"/>
      <c r="CZ115" s="236"/>
      <c r="DA115" s="237"/>
      <c r="DB115" s="209"/>
      <c r="DC115" s="209"/>
      <c r="DD115" s="220"/>
      <c r="DE115" s="208"/>
      <c r="DF115" s="208"/>
      <c r="DG115" s="221"/>
      <c r="DI115" s="205" t="str">
        <f>$B115</f>
        <v>Kwart finale</v>
      </c>
      <c r="DJ115" s="207"/>
      <c r="DK115" s="207"/>
      <c r="DL115" s="208"/>
      <c r="DM115" s="236"/>
      <c r="DN115" s="237"/>
      <c r="DO115" s="209"/>
      <c r="DP115" s="209"/>
      <c r="DQ115" s="220"/>
      <c r="DR115" s="208"/>
      <c r="DS115" s="208"/>
      <c r="DT115" s="221"/>
      <c r="DV115" s="205" t="str">
        <f>$B115</f>
        <v>Kwart finale</v>
      </c>
      <c r="DW115" s="207"/>
      <c r="DX115" s="207"/>
      <c r="DY115" s="208"/>
      <c r="DZ115" s="236"/>
      <c r="EA115" s="237"/>
      <c r="EB115" s="209"/>
      <c r="EC115" s="209"/>
      <c r="ED115" s="220"/>
      <c r="EE115" s="208"/>
      <c r="EF115" s="208"/>
      <c r="EG115" s="221"/>
      <c r="EI115" s="205" t="str">
        <f>$B115</f>
        <v>Kwart finale</v>
      </c>
      <c r="EJ115" s="207"/>
      <c r="EK115" s="207"/>
      <c r="EL115" s="208"/>
      <c r="EM115" s="236"/>
      <c r="EN115" s="237"/>
      <c r="EO115" s="209"/>
      <c r="EP115" s="209"/>
      <c r="EQ115" s="220"/>
      <c r="ER115" s="208"/>
      <c r="ES115" s="208"/>
      <c r="ET115" s="221"/>
      <c r="EV115" s="205" t="str">
        <f>$B115</f>
        <v>Kwart finale</v>
      </c>
      <c r="EW115" s="207"/>
      <c r="EX115" s="207"/>
      <c r="EY115" s="208"/>
      <c r="EZ115" s="236"/>
      <c r="FA115" s="237"/>
      <c r="FB115" s="209"/>
      <c r="FC115" s="209"/>
      <c r="FD115" s="220"/>
      <c r="FE115" s="208"/>
      <c r="FF115" s="208"/>
      <c r="FG115" s="221"/>
      <c r="FI115" s="205" t="str">
        <f>$B115</f>
        <v>Kwart finale</v>
      </c>
      <c r="FJ115" s="207"/>
      <c r="FK115" s="207"/>
      <c r="FL115" s="208"/>
      <c r="FM115" s="236"/>
      <c r="FN115" s="237"/>
      <c r="FO115" s="209"/>
      <c r="FP115" s="209"/>
      <c r="FQ115" s="220"/>
      <c r="FR115" s="208"/>
      <c r="FS115" s="208"/>
      <c r="FT115" s="221"/>
      <c r="FV115" s="205" t="str">
        <f>$B115</f>
        <v>Kwart finale</v>
      </c>
      <c r="FW115" s="207"/>
      <c r="FX115" s="207"/>
      <c r="FY115" s="208"/>
      <c r="FZ115" s="236"/>
      <c r="GA115" s="237"/>
      <c r="GB115" s="209"/>
      <c r="GC115" s="209"/>
      <c r="GD115" s="220"/>
      <c r="GE115" s="208"/>
      <c r="GF115" s="208"/>
      <c r="GG115" s="221"/>
      <c r="GI115" s="205" t="str">
        <f>$B115</f>
        <v>Kwart finale</v>
      </c>
      <c r="GJ115" s="207"/>
      <c r="GK115" s="207"/>
      <c r="GL115" s="208"/>
      <c r="GM115" s="236"/>
      <c r="GN115" s="237"/>
      <c r="GO115" s="209"/>
      <c r="GP115" s="209"/>
      <c r="GQ115" s="220"/>
      <c r="GR115" s="208"/>
      <c r="GS115" s="208"/>
      <c r="GT115" s="221"/>
      <c r="GV115" s="205" t="str">
        <f>$B115</f>
        <v>Kwart finale</v>
      </c>
      <c r="GW115" s="207"/>
      <c r="GX115" s="207"/>
      <c r="GY115" s="208"/>
      <c r="GZ115" s="236"/>
      <c r="HA115" s="237"/>
      <c r="HB115" s="209"/>
      <c r="HC115" s="209"/>
      <c r="HD115" s="220"/>
      <c r="HE115" s="208"/>
      <c r="HF115" s="208"/>
      <c r="HG115" s="221"/>
      <c r="HI115" s="205" t="str">
        <f>$B115</f>
        <v>Kwart finale</v>
      </c>
      <c r="HJ115" s="207"/>
      <c r="HK115" s="207"/>
      <c r="HL115" s="208"/>
      <c r="HM115" s="236"/>
      <c r="HN115" s="237"/>
      <c r="HO115" s="209"/>
      <c r="HP115" s="209"/>
      <c r="HQ115" s="220"/>
      <c r="HR115" s="208"/>
      <c r="HS115" s="208"/>
      <c r="HT115" s="221"/>
      <c r="HV115" s="205" t="str">
        <f>$B115</f>
        <v>Kwart finale</v>
      </c>
      <c r="HW115" s="207"/>
      <c r="HX115" s="207"/>
      <c r="HY115" s="208"/>
      <c r="HZ115" s="236"/>
      <c r="IA115" s="237"/>
      <c r="IB115" s="209"/>
      <c r="IC115" s="209"/>
      <c r="ID115" s="220"/>
      <c r="IE115" s="208"/>
      <c r="IF115" s="208"/>
      <c r="IG115" s="221"/>
      <c r="II115" s="205" t="str">
        <f>$B115</f>
        <v>Kwart finale</v>
      </c>
      <c r="IJ115" s="207"/>
      <c r="IK115" s="207"/>
      <c r="IL115" s="208"/>
      <c r="IM115" s="236"/>
      <c r="IN115" s="237"/>
      <c r="IO115" s="209"/>
      <c r="IP115" s="209"/>
      <c r="IQ115" s="220"/>
      <c r="IR115" s="208"/>
      <c r="IS115" s="208"/>
      <c r="IT115" s="221"/>
      <c r="IV115" s="205" t="str">
        <f>$B115</f>
        <v>Kwart finale</v>
      </c>
      <c r="IW115" s="207"/>
      <c r="IX115" s="207"/>
      <c r="IY115" s="208"/>
      <c r="IZ115" s="236"/>
      <c r="JA115" s="237"/>
      <c r="JB115" s="209"/>
      <c r="JC115" s="209"/>
      <c r="JD115" s="220"/>
      <c r="JE115" s="208"/>
      <c r="JF115" s="208"/>
      <c r="JG115" s="221"/>
      <c r="JI115" s="205" t="str">
        <f>$B115</f>
        <v>Kwart finale</v>
      </c>
      <c r="JJ115" s="207"/>
      <c r="JK115" s="207"/>
      <c r="JL115" s="208"/>
      <c r="JM115" s="236"/>
      <c r="JN115" s="237"/>
      <c r="JO115" s="209"/>
      <c r="JP115" s="209"/>
      <c r="JQ115" s="220"/>
      <c r="JR115" s="208"/>
      <c r="JS115" s="208"/>
      <c r="JT115" s="221"/>
      <c r="JV115" s="205" t="str">
        <f>$B115</f>
        <v>Kwart finale</v>
      </c>
      <c r="JW115" s="207"/>
      <c r="JX115" s="207"/>
      <c r="JY115" s="208"/>
      <c r="JZ115" s="236"/>
      <c r="KA115" s="237"/>
      <c r="KB115" s="209"/>
      <c r="KC115" s="209"/>
      <c r="KD115" s="220"/>
      <c r="KE115" s="208"/>
      <c r="KF115" s="208"/>
      <c r="KG115" s="221"/>
      <c r="KI115" s="205" t="str">
        <f>$B115</f>
        <v>Kwart finale</v>
      </c>
      <c r="KJ115" s="207"/>
      <c r="KK115" s="207"/>
      <c r="KL115" s="208"/>
      <c r="KM115" s="236"/>
      <c r="KN115" s="237"/>
      <c r="KO115" s="209"/>
      <c r="KP115" s="209"/>
      <c r="KQ115" s="220"/>
      <c r="KR115" s="208"/>
      <c r="KS115" s="208"/>
      <c r="KT115" s="221"/>
      <c r="KV115" s="205" t="str">
        <f>$B115</f>
        <v>Kwart finale</v>
      </c>
      <c r="KW115" s="207"/>
      <c r="KX115" s="207"/>
      <c r="KY115" s="208"/>
      <c r="KZ115" s="236"/>
      <c r="LA115" s="237"/>
      <c r="LB115" s="209"/>
      <c r="LC115" s="209"/>
      <c r="LD115" s="220"/>
      <c r="LE115" s="208"/>
      <c r="LF115" s="208"/>
      <c r="LG115" s="221"/>
      <c r="LI115" s="205" t="str">
        <f>$B115</f>
        <v>Kwart finale</v>
      </c>
      <c r="LJ115" s="207"/>
      <c r="LK115" s="207"/>
      <c r="LL115" s="208"/>
      <c r="LM115" s="236"/>
      <c r="LN115" s="237"/>
      <c r="LO115" s="209"/>
      <c r="LP115" s="209"/>
      <c r="LQ115" s="220"/>
      <c r="LR115" s="208"/>
      <c r="LS115" s="208"/>
      <c r="LT115" s="221"/>
      <c r="LV115" s="205" t="str">
        <f>$B115</f>
        <v>Kwart finale</v>
      </c>
      <c r="LW115" s="207"/>
      <c r="LX115" s="207"/>
      <c r="LY115" s="208"/>
      <c r="LZ115" s="236"/>
      <c r="MA115" s="237"/>
      <c r="MB115" s="209"/>
      <c r="MC115" s="209"/>
      <c r="MD115" s="220"/>
      <c r="ME115" s="208"/>
      <c r="MF115" s="208"/>
      <c r="MG115" s="221"/>
    </row>
    <row r="116" spans="1:345" s="22" customFormat="1">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09">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09">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09">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09">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09">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09">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09">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09">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09">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09">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09">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09">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09">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09">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09">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09">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09">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09">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09">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09">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09">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09">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09">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09">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09">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09">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09">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09">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09">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09">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09">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09">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09">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09">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09">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09">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09">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09">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09">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09">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09">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09">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09">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09">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09">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09">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09">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09">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09">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09">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09">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09">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09">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5"/>
      <c r="V118" s="231"/>
      <c r="W118" s="197" t="str">
        <f>IF(V118="","",VLOOKUP(V118,Language!$D$5:$E$100,2,0))</f>
        <v/>
      </c>
      <c r="X118" s="232"/>
      <c r="Y118" s="197" t="str">
        <f>IF(X118="","",VLOOKUP(X118,Language!$D$5:$E$100,2,0))</f>
        <v/>
      </c>
      <c r="Z118" s="232"/>
      <c r="AA118" s="232"/>
      <c r="AB118" s="309">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09">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09">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09">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09">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09">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09">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09">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09">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09">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09">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09">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09">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09">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09">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09">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09">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09">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09">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09">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09">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09">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09">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09">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09">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09">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09">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09">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09">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09">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09">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09">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09">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09">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09">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09">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09">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09">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09">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09">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09">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09">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09">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09">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09">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09">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09">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09">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09">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09">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09">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c r="B120" s="205" t="str">
        <f>Language!$E$217</f>
        <v>Halve finale</v>
      </c>
      <c r="C120" s="206"/>
      <c r="D120" s="211"/>
      <c r="E120" s="208"/>
      <c r="F120" s="212"/>
      <c r="G120" s="213"/>
      <c r="I120" s="205" t="str">
        <f>$B120</f>
        <v>Halve finale</v>
      </c>
      <c r="J120" s="207"/>
      <c r="K120" s="207"/>
      <c r="L120" s="208"/>
      <c r="M120" s="236"/>
      <c r="N120" s="237"/>
      <c r="O120" s="209"/>
      <c r="P120" s="209"/>
      <c r="Q120" s="220"/>
      <c r="R120" s="208"/>
      <c r="S120" s="208"/>
      <c r="T120" s="221"/>
      <c r="V120" s="205" t="str">
        <f>$B120</f>
        <v>Halve finale</v>
      </c>
      <c r="W120" s="207"/>
      <c r="X120" s="207"/>
      <c r="Y120" s="208"/>
      <c r="Z120" s="236"/>
      <c r="AA120" s="237"/>
      <c r="AB120" s="209"/>
      <c r="AC120" s="209"/>
      <c r="AD120" s="220"/>
      <c r="AE120" s="208"/>
      <c r="AF120" s="208"/>
      <c r="AG120" s="221"/>
      <c r="AI120" s="205" t="str">
        <f>$B120</f>
        <v>Halve finale</v>
      </c>
      <c r="AJ120" s="207"/>
      <c r="AK120" s="207"/>
      <c r="AL120" s="208"/>
      <c r="AM120" s="236"/>
      <c r="AN120" s="237"/>
      <c r="AO120" s="209"/>
      <c r="AP120" s="209"/>
      <c r="AQ120" s="220"/>
      <c r="AR120" s="208"/>
      <c r="AS120" s="208"/>
      <c r="AT120" s="221"/>
      <c r="AV120" s="205" t="str">
        <f>$B120</f>
        <v>Halve finale</v>
      </c>
      <c r="AW120" s="207"/>
      <c r="AX120" s="207"/>
      <c r="AY120" s="208"/>
      <c r="AZ120" s="236"/>
      <c r="BA120" s="237"/>
      <c r="BB120" s="209"/>
      <c r="BC120" s="209"/>
      <c r="BD120" s="220"/>
      <c r="BE120" s="208"/>
      <c r="BF120" s="208"/>
      <c r="BG120" s="221"/>
      <c r="BI120" s="205" t="str">
        <f>$B120</f>
        <v>Halve finale</v>
      </c>
      <c r="BJ120" s="207"/>
      <c r="BK120" s="207"/>
      <c r="BL120" s="208"/>
      <c r="BM120" s="236"/>
      <c r="BN120" s="237"/>
      <c r="BO120" s="209"/>
      <c r="BP120" s="209"/>
      <c r="BQ120" s="220"/>
      <c r="BR120" s="208"/>
      <c r="BS120" s="208"/>
      <c r="BT120" s="221"/>
      <c r="BV120" s="205" t="str">
        <f>$B120</f>
        <v>Halve finale</v>
      </c>
      <c r="BW120" s="207"/>
      <c r="BX120" s="207"/>
      <c r="BY120" s="208"/>
      <c r="BZ120" s="236"/>
      <c r="CA120" s="237"/>
      <c r="CB120" s="209"/>
      <c r="CC120" s="209"/>
      <c r="CD120" s="220"/>
      <c r="CE120" s="208"/>
      <c r="CF120" s="208"/>
      <c r="CG120" s="221"/>
      <c r="CI120" s="205" t="str">
        <f>$B120</f>
        <v>Halve finale</v>
      </c>
      <c r="CJ120" s="207"/>
      <c r="CK120" s="207"/>
      <c r="CL120" s="208"/>
      <c r="CM120" s="236"/>
      <c r="CN120" s="237"/>
      <c r="CO120" s="209"/>
      <c r="CP120" s="209"/>
      <c r="CQ120" s="220"/>
      <c r="CR120" s="208"/>
      <c r="CS120" s="208"/>
      <c r="CT120" s="221"/>
      <c r="CV120" s="205" t="str">
        <f>$B120</f>
        <v>Halve finale</v>
      </c>
      <c r="CW120" s="207"/>
      <c r="CX120" s="207"/>
      <c r="CY120" s="208"/>
      <c r="CZ120" s="236"/>
      <c r="DA120" s="237"/>
      <c r="DB120" s="209"/>
      <c r="DC120" s="209"/>
      <c r="DD120" s="220"/>
      <c r="DE120" s="208"/>
      <c r="DF120" s="208"/>
      <c r="DG120" s="221"/>
      <c r="DI120" s="205" t="str">
        <f>$B120</f>
        <v>Halve finale</v>
      </c>
      <c r="DJ120" s="207"/>
      <c r="DK120" s="207"/>
      <c r="DL120" s="208"/>
      <c r="DM120" s="236"/>
      <c r="DN120" s="237"/>
      <c r="DO120" s="209"/>
      <c r="DP120" s="209"/>
      <c r="DQ120" s="220"/>
      <c r="DR120" s="208"/>
      <c r="DS120" s="208"/>
      <c r="DT120" s="221"/>
      <c r="DV120" s="205" t="str">
        <f>$B120</f>
        <v>Halve finale</v>
      </c>
      <c r="DW120" s="207"/>
      <c r="DX120" s="207"/>
      <c r="DY120" s="208"/>
      <c r="DZ120" s="236"/>
      <c r="EA120" s="237"/>
      <c r="EB120" s="209"/>
      <c r="EC120" s="209"/>
      <c r="ED120" s="220"/>
      <c r="EE120" s="208"/>
      <c r="EF120" s="208"/>
      <c r="EG120" s="221"/>
      <c r="EI120" s="205" t="str">
        <f>$B120</f>
        <v>Halve finale</v>
      </c>
      <c r="EJ120" s="207"/>
      <c r="EK120" s="207"/>
      <c r="EL120" s="208"/>
      <c r="EM120" s="236"/>
      <c r="EN120" s="237"/>
      <c r="EO120" s="209"/>
      <c r="EP120" s="209"/>
      <c r="EQ120" s="220"/>
      <c r="ER120" s="208"/>
      <c r="ES120" s="208"/>
      <c r="ET120" s="221"/>
      <c r="EV120" s="205" t="str">
        <f>$B120</f>
        <v>Halve finale</v>
      </c>
      <c r="EW120" s="207"/>
      <c r="EX120" s="207"/>
      <c r="EY120" s="208"/>
      <c r="EZ120" s="236"/>
      <c r="FA120" s="237"/>
      <c r="FB120" s="209"/>
      <c r="FC120" s="209"/>
      <c r="FD120" s="220"/>
      <c r="FE120" s="208"/>
      <c r="FF120" s="208"/>
      <c r="FG120" s="221"/>
      <c r="FI120" s="205" t="str">
        <f>$B120</f>
        <v>Halve finale</v>
      </c>
      <c r="FJ120" s="207"/>
      <c r="FK120" s="207"/>
      <c r="FL120" s="208"/>
      <c r="FM120" s="236"/>
      <c r="FN120" s="237"/>
      <c r="FO120" s="209"/>
      <c r="FP120" s="209"/>
      <c r="FQ120" s="220"/>
      <c r="FR120" s="208"/>
      <c r="FS120" s="208"/>
      <c r="FT120" s="221"/>
      <c r="FV120" s="205" t="str">
        <f>$B120</f>
        <v>Halve finale</v>
      </c>
      <c r="FW120" s="207"/>
      <c r="FX120" s="207"/>
      <c r="FY120" s="208"/>
      <c r="FZ120" s="236"/>
      <c r="GA120" s="237"/>
      <c r="GB120" s="209"/>
      <c r="GC120" s="209"/>
      <c r="GD120" s="220"/>
      <c r="GE120" s="208"/>
      <c r="GF120" s="208"/>
      <c r="GG120" s="221"/>
      <c r="GI120" s="205" t="str">
        <f>$B120</f>
        <v>Halve finale</v>
      </c>
      <c r="GJ120" s="207"/>
      <c r="GK120" s="207"/>
      <c r="GL120" s="208"/>
      <c r="GM120" s="236"/>
      <c r="GN120" s="237"/>
      <c r="GO120" s="209"/>
      <c r="GP120" s="209"/>
      <c r="GQ120" s="220"/>
      <c r="GR120" s="208"/>
      <c r="GS120" s="208"/>
      <c r="GT120" s="221"/>
      <c r="GV120" s="205" t="str">
        <f>$B120</f>
        <v>Halve finale</v>
      </c>
      <c r="GW120" s="207"/>
      <c r="GX120" s="207"/>
      <c r="GY120" s="208"/>
      <c r="GZ120" s="236"/>
      <c r="HA120" s="237"/>
      <c r="HB120" s="209"/>
      <c r="HC120" s="209"/>
      <c r="HD120" s="220"/>
      <c r="HE120" s="208"/>
      <c r="HF120" s="208"/>
      <c r="HG120" s="221"/>
      <c r="HI120" s="205" t="str">
        <f>$B120</f>
        <v>Halve finale</v>
      </c>
      <c r="HJ120" s="207"/>
      <c r="HK120" s="207"/>
      <c r="HL120" s="208"/>
      <c r="HM120" s="236"/>
      <c r="HN120" s="237"/>
      <c r="HO120" s="209"/>
      <c r="HP120" s="209"/>
      <c r="HQ120" s="220"/>
      <c r="HR120" s="208"/>
      <c r="HS120" s="208"/>
      <c r="HT120" s="221"/>
      <c r="HV120" s="205" t="str">
        <f>$B120</f>
        <v>Halve finale</v>
      </c>
      <c r="HW120" s="207"/>
      <c r="HX120" s="207"/>
      <c r="HY120" s="208"/>
      <c r="HZ120" s="236"/>
      <c r="IA120" s="237"/>
      <c r="IB120" s="209"/>
      <c r="IC120" s="209"/>
      <c r="ID120" s="220"/>
      <c r="IE120" s="208"/>
      <c r="IF120" s="208"/>
      <c r="IG120" s="221"/>
      <c r="II120" s="205" t="str">
        <f>$B120</f>
        <v>Halve finale</v>
      </c>
      <c r="IJ120" s="207"/>
      <c r="IK120" s="207"/>
      <c r="IL120" s="208"/>
      <c r="IM120" s="236"/>
      <c r="IN120" s="237"/>
      <c r="IO120" s="209"/>
      <c r="IP120" s="209"/>
      <c r="IQ120" s="220"/>
      <c r="IR120" s="208"/>
      <c r="IS120" s="208"/>
      <c r="IT120" s="221"/>
      <c r="IV120" s="205" t="str">
        <f>$B120</f>
        <v>Halve finale</v>
      </c>
      <c r="IW120" s="207"/>
      <c r="IX120" s="207"/>
      <c r="IY120" s="208"/>
      <c r="IZ120" s="236"/>
      <c r="JA120" s="237"/>
      <c r="JB120" s="209"/>
      <c r="JC120" s="209"/>
      <c r="JD120" s="220"/>
      <c r="JE120" s="208"/>
      <c r="JF120" s="208"/>
      <c r="JG120" s="221"/>
      <c r="JI120" s="205" t="str">
        <f>$B120</f>
        <v>Halve finale</v>
      </c>
      <c r="JJ120" s="207"/>
      <c r="JK120" s="207"/>
      <c r="JL120" s="208"/>
      <c r="JM120" s="236"/>
      <c r="JN120" s="237"/>
      <c r="JO120" s="209"/>
      <c r="JP120" s="209"/>
      <c r="JQ120" s="220"/>
      <c r="JR120" s="208"/>
      <c r="JS120" s="208"/>
      <c r="JT120" s="221"/>
      <c r="JV120" s="205" t="str">
        <f>$B120</f>
        <v>Halve finale</v>
      </c>
      <c r="JW120" s="207"/>
      <c r="JX120" s="207"/>
      <c r="JY120" s="208"/>
      <c r="JZ120" s="236"/>
      <c r="KA120" s="237"/>
      <c r="KB120" s="209"/>
      <c r="KC120" s="209"/>
      <c r="KD120" s="220"/>
      <c r="KE120" s="208"/>
      <c r="KF120" s="208"/>
      <c r="KG120" s="221"/>
      <c r="KI120" s="205" t="str">
        <f>$B120</f>
        <v>Halve finale</v>
      </c>
      <c r="KJ120" s="207"/>
      <c r="KK120" s="207"/>
      <c r="KL120" s="208"/>
      <c r="KM120" s="236"/>
      <c r="KN120" s="237"/>
      <c r="KO120" s="209"/>
      <c r="KP120" s="209"/>
      <c r="KQ120" s="220"/>
      <c r="KR120" s="208"/>
      <c r="KS120" s="208"/>
      <c r="KT120" s="221"/>
      <c r="KV120" s="205" t="str">
        <f>$B120</f>
        <v>Halve finale</v>
      </c>
      <c r="KW120" s="207"/>
      <c r="KX120" s="207"/>
      <c r="KY120" s="208"/>
      <c r="KZ120" s="236"/>
      <c r="LA120" s="237"/>
      <c r="LB120" s="209"/>
      <c r="LC120" s="209"/>
      <c r="LD120" s="220"/>
      <c r="LE120" s="208"/>
      <c r="LF120" s="208"/>
      <c r="LG120" s="221"/>
      <c r="LI120" s="205" t="str">
        <f>$B120</f>
        <v>Halve finale</v>
      </c>
      <c r="LJ120" s="207"/>
      <c r="LK120" s="207"/>
      <c r="LL120" s="208"/>
      <c r="LM120" s="236"/>
      <c r="LN120" s="237"/>
      <c r="LO120" s="209"/>
      <c r="LP120" s="209"/>
      <c r="LQ120" s="220"/>
      <c r="LR120" s="208"/>
      <c r="LS120" s="208"/>
      <c r="LT120" s="221"/>
      <c r="LV120" s="205" t="str">
        <f>$B120</f>
        <v>Halve finale</v>
      </c>
      <c r="LW120" s="207"/>
      <c r="LX120" s="207"/>
      <c r="LY120" s="208"/>
      <c r="LZ120" s="236"/>
      <c r="MA120" s="237"/>
      <c r="MB120" s="209"/>
      <c r="MC120" s="209"/>
      <c r="MD120" s="220"/>
      <c r="ME120" s="208"/>
      <c r="MF120" s="208"/>
      <c r="MG120" s="221"/>
    </row>
    <row r="121" spans="1:345">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09">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09">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09">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09">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09">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09">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09">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09">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09">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09">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09">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09">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09">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09">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09">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09">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09">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09">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09">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09">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09">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09">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09">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09">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09">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09">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09">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09">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09">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09">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09">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09">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09">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09">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09">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09">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09">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09">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09">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09">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09">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09">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09">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09">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09">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09">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09">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09">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09">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09">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09">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09">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c r="B123" s="205" t="str">
        <f>Language!$E$218</f>
        <v>Derde plaats</v>
      </c>
      <c r="C123" s="206"/>
      <c r="D123" s="211"/>
      <c r="E123" s="208"/>
      <c r="F123" s="212"/>
      <c r="G123" s="213"/>
      <c r="I123" s="205" t="str">
        <f>$B123</f>
        <v>Derde plaats</v>
      </c>
      <c r="J123" s="207"/>
      <c r="K123" s="207"/>
      <c r="L123" s="208"/>
      <c r="M123" s="236"/>
      <c r="N123" s="237"/>
      <c r="O123" s="209"/>
      <c r="P123" s="209"/>
      <c r="Q123" s="220"/>
      <c r="R123" s="208"/>
      <c r="S123" s="208"/>
      <c r="T123" s="221"/>
      <c r="V123" s="205" t="str">
        <f>$B123</f>
        <v>Derde plaats</v>
      </c>
      <c r="W123" s="207"/>
      <c r="X123" s="207"/>
      <c r="Y123" s="208"/>
      <c r="Z123" s="236"/>
      <c r="AA123" s="237"/>
      <c r="AB123" s="209"/>
      <c r="AC123" s="209"/>
      <c r="AD123" s="220"/>
      <c r="AE123" s="208"/>
      <c r="AF123" s="208"/>
      <c r="AG123" s="221"/>
      <c r="AI123" s="205" t="str">
        <f>$B123</f>
        <v>Derde plaats</v>
      </c>
      <c r="AJ123" s="207"/>
      <c r="AK123" s="207"/>
      <c r="AL123" s="208"/>
      <c r="AM123" s="236"/>
      <c r="AN123" s="237"/>
      <c r="AO123" s="209"/>
      <c r="AP123" s="209"/>
      <c r="AQ123" s="220"/>
      <c r="AR123" s="208"/>
      <c r="AS123" s="208"/>
      <c r="AT123" s="221"/>
      <c r="AV123" s="205" t="str">
        <f>$B123</f>
        <v>Derde plaats</v>
      </c>
      <c r="AW123" s="207"/>
      <c r="AX123" s="207"/>
      <c r="AY123" s="208"/>
      <c r="AZ123" s="236"/>
      <c r="BA123" s="237"/>
      <c r="BB123" s="209"/>
      <c r="BC123" s="209"/>
      <c r="BD123" s="220"/>
      <c r="BE123" s="208"/>
      <c r="BF123" s="208"/>
      <c r="BG123" s="221"/>
      <c r="BI123" s="205" t="str">
        <f>$B123</f>
        <v>Derde plaats</v>
      </c>
      <c r="BJ123" s="207"/>
      <c r="BK123" s="207"/>
      <c r="BL123" s="208"/>
      <c r="BM123" s="236"/>
      <c r="BN123" s="237"/>
      <c r="BO123" s="209"/>
      <c r="BP123" s="209"/>
      <c r="BQ123" s="220"/>
      <c r="BR123" s="208"/>
      <c r="BS123" s="208"/>
      <c r="BT123" s="221"/>
      <c r="BV123" s="205" t="str">
        <f>$B123</f>
        <v>Derde plaats</v>
      </c>
      <c r="BW123" s="207"/>
      <c r="BX123" s="207"/>
      <c r="BY123" s="208"/>
      <c r="BZ123" s="236"/>
      <c r="CA123" s="237"/>
      <c r="CB123" s="209"/>
      <c r="CC123" s="209"/>
      <c r="CD123" s="220"/>
      <c r="CE123" s="208"/>
      <c r="CF123" s="208"/>
      <c r="CG123" s="221"/>
      <c r="CI123" s="205" t="str">
        <f>$B123</f>
        <v>Derde plaats</v>
      </c>
      <c r="CJ123" s="207"/>
      <c r="CK123" s="207"/>
      <c r="CL123" s="208"/>
      <c r="CM123" s="236"/>
      <c r="CN123" s="237"/>
      <c r="CO123" s="209"/>
      <c r="CP123" s="209"/>
      <c r="CQ123" s="220"/>
      <c r="CR123" s="208"/>
      <c r="CS123" s="208"/>
      <c r="CT123" s="221"/>
      <c r="CV123" s="205" t="str">
        <f>$B123</f>
        <v>Derde plaats</v>
      </c>
      <c r="CW123" s="207"/>
      <c r="CX123" s="207"/>
      <c r="CY123" s="208"/>
      <c r="CZ123" s="236"/>
      <c r="DA123" s="237"/>
      <c r="DB123" s="209"/>
      <c r="DC123" s="209"/>
      <c r="DD123" s="220"/>
      <c r="DE123" s="208"/>
      <c r="DF123" s="208"/>
      <c r="DG123" s="221"/>
      <c r="DI123" s="205" t="str">
        <f>$B123</f>
        <v>Derde plaats</v>
      </c>
      <c r="DJ123" s="207"/>
      <c r="DK123" s="207"/>
      <c r="DL123" s="208"/>
      <c r="DM123" s="236"/>
      <c r="DN123" s="237"/>
      <c r="DO123" s="209"/>
      <c r="DP123" s="209"/>
      <c r="DQ123" s="220"/>
      <c r="DR123" s="208"/>
      <c r="DS123" s="208"/>
      <c r="DT123" s="221"/>
      <c r="DV123" s="205" t="str">
        <f>$B123</f>
        <v>Derde plaats</v>
      </c>
      <c r="DW123" s="207"/>
      <c r="DX123" s="207"/>
      <c r="DY123" s="208"/>
      <c r="DZ123" s="236"/>
      <c r="EA123" s="237"/>
      <c r="EB123" s="209"/>
      <c r="EC123" s="209"/>
      <c r="ED123" s="220"/>
      <c r="EE123" s="208"/>
      <c r="EF123" s="208"/>
      <c r="EG123" s="221"/>
      <c r="EI123" s="205" t="str">
        <f>$B123</f>
        <v>Derde plaats</v>
      </c>
      <c r="EJ123" s="207"/>
      <c r="EK123" s="207"/>
      <c r="EL123" s="208"/>
      <c r="EM123" s="236"/>
      <c r="EN123" s="237"/>
      <c r="EO123" s="209"/>
      <c r="EP123" s="209"/>
      <c r="EQ123" s="220"/>
      <c r="ER123" s="208"/>
      <c r="ES123" s="208"/>
      <c r="ET123" s="221"/>
      <c r="EV123" s="205" t="str">
        <f>$B123</f>
        <v>Derde plaats</v>
      </c>
      <c r="EW123" s="207"/>
      <c r="EX123" s="207"/>
      <c r="EY123" s="208"/>
      <c r="EZ123" s="236"/>
      <c r="FA123" s="237"/>
      <c r="FB123" s="209"/>
      <c r="FC123" s="209"/>
      <c r="FD123" s="220"/>
      <c r="FE123" s="208"/>
      <c r="FF123" s="208"/>
      <c r="FG123" s="221"/>
      <c r="FI123" s="205" t="str">
        <f>$B123</f>
        <v>Derde plaats</v>
      </c>
      <c r="FJ123" s="207"/>
      <c r="FK123" s="207"/>
      <c r="FL123" s="208"/>
      <c r="FM123" s="236"/>
      <c r="FN123" s="237"/>
      <c r="FO123" s="209"/>
      <c r="FP123" s="209"/>
      <c r="FQ123" s="220"/>
      <c r="FR123" s="208"/>
      <c r="FS123" s="208"/>
      <c r="FT123" s="221"/>
      <c r="FV123" s="205" t="str">
        <f>$B123</f>
        <v>Derde plaats</v>
      </c>
      <c r="FW123" s="207"/>
      <c r="FX123" s="207"/>
      <c r="FY123" s="208"/>
      <c r="FZ123" s="236"/>
      <c r="GA123" s="237"/>
      <c r="GB123" s="209"/>
      <c r="GC123" s="209"/>
      <c r="GD123" s="220"/>
      <c r="GE123" s="208"/>
      <c r="GF123" s="208"/>
      <c r="GG123" s="221"/>
      <c r="GI123" s="205" t="str">
        <f>$B123</f>
        <v>Derde plaats</v>
      </c>
      <c r="GJ123" s="207"/>
      <c r="GK123" s="207"/>
      <c r="GL123" s="208"/>
      <c r="GM123" s="236"/>
      <c r="GN123" s="237"/>
      <c r="GO123" s="209"/>
      <c r="GP123" s="209"/>
      <c r="GQ123" s="220"/>
      <c r="GR123" s="208"/>
      <c r="GS123" s="208"/>
      <c r="GT123" s="221"/>
      <c r="GV123" s="205" t="str">
        <f>$B123</f>
        <v>Derde plaats</v>
      </c>
      <c r="GW123" s="207"/>
      <c r="GX123" s="207"/>
      <c r="GY123" s="208"/>
      <c r="GZ123" s="236"/>
      <c r="HA123" s="237"/>
      <c r="HB123" s="209"/>
      <c r="HC123" s="209"/>
      <c r="HD123" s="220"/>
      <c r="HE123" s="208"/>
      <c r="HF123" s="208"/>
      <c r="HG123" s="221"/>
      <c r="HI123" s="205" t="str">
        <f>$B123</f>
        <v>Derde plaats</v>
      </c>
      <c r="HJ123" s="207"/>
      <c r="HK123" s="207"/>
      <c r="HL123" s="208"/>
      <c r="HM123" s="236"/>
      <c r="HN123" s="237"/>
      <c r="HO123" s="209"/>
      <c r="HP123" s="209"/>
      <c r="HQ123" s="220"/>
      <c r="HR123" s="208"/>
      <c r="HS123" s="208"/>
      <c r="HT123" s="221"/>
      <c r="HV123" s="205" t="str">
        <f>$B123</f>
        <v>Derde plaats</v>
      </c>
      <c r="HW123" s="207"/>
      <c r="HX123" s="207"/>
      <c r="HY123" s="208"/>
      <c r="HZ123" s="236"/>
      <c r="IA123" s="237"/>
      <c r="IB123" s="209"/>
      <c r="IC123" s="209"/>
      <c r="ID123" s="220"/>
      <c r="IE123" s="208"/>
      <c r="IF123" s="208"/>
      <c r="IG123" s="221"/>
      <c r="II123" s="205" t="str">
        <f>$B123</f>
        <v>Derde plaats</v>
      </c>
      <c r="IJ123" s="207"/>
      <c r="IK123" s="207"/>
      <c r="IL123" s="208"/>
      <c r="IM123" s="236"/>
      <c r="IN123" s="237"/>
      <c r="IO123" s="209"/>
      <c r="IP123" s="209"/>
      <c r="IQ123" s="220"/>
      <c r="IR123" s="208"/>
      <c r="IS123" s="208"/>
      <c r="IT123" s="221"/>
      <c r="IV123" s="205" t="str">
        <f>$B123</f>
        <v>Derde plaats</v>
      </c>
      <c r="IW123" s="207"/>
      <c r="IX123" s="207"/>
      <c r="IY123" s="208"/>
      <c r="IZ123" s="236"/>
      <c r="JA123" s="237"/>
      <c r="JB123" s="209"/>
      <c r="JC123" s="209"/>
      <c r="JD123" s="220"/>
      <c r="JE123" s="208"/>
      <c r="JF123" s="208"/>
      <c r="JG123" s="221"/>
      <c r="JI123" s="205" t="str">
        <f>$B123</f>
        <v>Derde plaats</v>
      </c>
      <c r="JJ123" s="207"/>
      <c r="JK123" s="207"/>
      <c r="JL123" s="208"/>
      <c r="JM123" s="236"/>
      <c r="JN123" s="237"/>
      <c r="JO123" s="209"/>
      <c r="JP123" s="209"/>
      <c r="JQ123" s="220"/>
      <c r="JR123" s="208"/>
      <c r="JS123" s="208"/>
      <c r="JT123" s="221"/>
      <c r="JV123" s="205" t="str">
        <f>$B123</f>
        <v>Derde plaats</v>
      </c>
      <c r="JW123" s="207"/>
      <c r="JX123" s="207"/>
      <c r="JY123" s="208"/>
      <c r="JZ123" s="236"/>
      <c r="KA123" s="237"/>
      <c r="KB123" s="209"/>
      <c r="KC123" s="209"/>
      <c r="KD123" s="220"/>
      <c r="KE123" s="208"/>
      <c r="KF123" s="208"/>
      <c r="KG123" s="221"/>
      <c r="KI123" s="205" t="str">
        <f>$B123</f>
        <v>Derde plaats</v>
      </c>
      <c r="KJ123" s="207"/>
      <c r="KK123" s="207"/>
      <c r="KL123" s="208"/>
      <c r="KM123" s="236"/>
      <c r="KN123" s="237"/>
      <c r="KO123" s="209"/>
      <c r="KP123" s="209"/>
      <c r="KQ123" s="220"/>
      <c r="KR123" s="208"/>
      <c r="KS123" s="208"/>
      <c r="KT123" s="221"/>
      <c r="KV123" s="205" t="str">
        <f>$B123</f>
        <v>Derde plaats</v>
      </c>
      <c r="KW123" s="207"/>
      <c r="KX123" s="207"/>
      <c r="KY123" s="208"/>
      <c r="KZ123" s="236"/>
      <c r="LA123" s="237"/>
      <c r="LB123" s="209"/>
      <c r="LC123" s="209"/>
      <c r="LD123" s="220"/>
      <c r="LE123" s="208"/>
      <c r="LF123" s="208"/>
      <c r="LG123" s="221"/>
      <c r="LI123" s="205" t="str">
        <f>$B123</f>
        <v>Derde plaats</v>
      </c>
      <c r="LJ123" s="207"/>
      <c r="LK123" s="207"/>
      <c r="LL123" s="208"/>
      <c r="LM123" s="236"/>
      <c r="LN123" s="237"/>
      <c r="LO123" s="209"/>
      <c r="LP123" s="209"/>
      <c r="LQ123" s="220"/>
      <c r="LR123" s="208"/>
      <c r="LS123" s="208"/>
      <c r="LT123" s="221"/>
      <c r="LV123" s="205" t="str">
        <f>$B123</f>
        <v>Derde plaats</v>
      </c>
      <c r="LW123" s="207"/>
      <c r="LX123" s="207"/>
      <c r="LY123" s="208"/>
      <c r="LZ123" s="236"/>
      <c r="MA123" s="237"/>
      <c r="MB123" s="209"/>
      <c r="MC123" s="209"/>
      <c r="MD123" s="220"/>
      <c r="ME123" s="208"/>
      <c r="MF123" s="208"/>
      <c r="MG123" s="221"/>
    </row>
    <row r="124" spans="1:345">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2">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1"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2">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1"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2">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1"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2">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1"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2">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1"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2">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1"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2">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1"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2">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1"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2">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1"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2">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1"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2">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1"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2">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1"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2">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1"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2">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1"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2">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1"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2">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1"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2">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1"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2">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1"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2">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1"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2">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1"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2">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1"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2">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1"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2">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1"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2">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1"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2">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1"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2">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1" t="str">
        <f>IF(($C124&amp;$E124&lt;&gt;"")*(LV124&amp;LX124&lt;&gt;""),IF(MC124&lt;&gt;1,0,($B124=LV124)+($D124=LV124))+IF(MB107&lt;&gt;1,0,($B124=LX124)+($D124=LX124)),"")</f>
        <v/>
      </c>
    </row>
    <row r="125" spans="1:345" ht="24" customHeight="1">
      <c r="B125" s="205" t="str">
        <f>Language!$E$219</f>
        <v>Finale</v>
      </c>
      <c r="C125" s="206"/>
      <c r="D125" s="211"/>
      <c r="E125" s="208"/>
      <c r="F125" s="212"/>
      <c r="G125" s="213"/>
      <c r="I125" s="205" t="str">
        <f>$B125</f>
        <v>Finale</v>
      </c>
      <c r="J125" s="207"/>
      <c r="K125" s="207"/>
      <c r="L125" s="208"/>
      <c r="M125" s="236"/>
      <c r="N125" s="237"/>
      <c r="O125" s="209"/>
      <c r="P125" s="209"/>
      <c r="Q125" s="220"/>
      <c r="R125" s="208"/>
      <c r="S125" s="208"/>
      <c r="T125" s="221"/>
      <c r="V125" s="205" t="str">
        <f>$B125</f>
        <v>Finale</v>
      </c>
      <c r="W125" s="207"/>
      <c r="X125" s="207"/>
      <c r="Y125" s="208"/>
      <c r="Z125" s="236"/>
      <c r="AA125" s="237"/>
      <c r="AB125" s="209"/>
      <c r="AC125" s="209"/>
      <c r="AD125" s="220"/>
      <c r="AE125" s="208"/>
      <c r="AF125" s="208"/>
      <c r="AG125" s="221"/>
      <c r="AI125" s="205" t="str">
        <f>$B125</f>
        <v>Finale</v>
      </c>
      <c r="AJ125" s="207"/>
      <c r="AK125" s="207"/>
      <c r="AL125" s="208"/>
      <c r="AM125" s="236"/>
      <c r="AN125" s="237"/>
      <c r="AO125" s="209"/>
      <c r="AP125" s="209"/>
      <c r="AQ125" s="220"/>
      <c r="AR125" s="208"/>
      <c r="AS125" s="208"/>
      <c r="AT125" s="221"/>
      <c r="AV125" s="205" t="str">
        <f>$B125</f>
        <v>Finale</v>
      </c>
      <c r="AW125" s="207"/>
      <c r="AX125" s="207"/>
      <c r="AY125" s="208"/>
      <c r="AZ125" s="236"/>
      <c r="BA125" s="237"/>
      <c r="BB125" s="209"/>
      <c r="BC125" s="209"/>
      <c r="BD125" s="220"/>
      <c r="BE125" s="208"/>
      <c r="BF125" s="208"/>
      <c r="BG125" s="221"/>
      <c r="BI125" s="205" t="str">
        <f>$B125</f>
        <v>Finale</v>
      </c>
      <c r="BJ125" s="207"/>
      <c r="BK125" s="207"/>
      <c r="BL125" s="208"/>
      <c r="BM125" s="236"/>
      <c r="BN125" s="237"/>
      <c r="BO125" s="209"/>
      <c r="BP125" s="209"/>
      <c r="BQ125" s="220"/>
      <c r="BR125" s="208"/>
      <c r="BS125" s="208"/>
      <c r="BT125" s="221"/>
      <c r="BV125" s="205" t="str">
        <f>$B125</f>
        <v>Finale</v>
      </c>
      <c r="BW125" s="207"/>
      <c r="BX125" s="207"/>
      <c r="BY125" s="208"/>
      <c r="BZ125" s="236"/>
      <c r="CA125" s="237"/>
      <c r="CB125" s="209"/>
      <c r="CC125" s="209"/>
      <c r="CD125" s="220"/>
      <c r="CE125" s="208"/>
      <c r="CF125" s="208"/>
      <c r="CG125" s="221"/>
      <c r="CI125" s="205" t="str">
        <f>$B125</f>
        <v>Finale</v>
      </c>
      <c r="CJ125" s="207"/>
      <c r="CK125" s="207"/>
      <c r="CL125" s="208"/>
      <c r="CM125" s="236"/>
      <c r="CN125" s="237"/>
      <c r="CO125" s="209"/>
      <c r="CP125" s="209"/>
      <c r="CQ125" s="220"/>
      <c r="CR125" s="208"/>
      <c r="CS125" s="208"/>
      <c r="CT125" s="221"/>
      <c r="CV125" s="205" t="str">
        <f>$B125</f>
        <v>Finale</v>
      </c>
      <c r="CW125" s="207"/>
      <c r="CX125" s="207"/>
      <c r="CY125" s="208"/>
      <c r="CZ125" s="236"/>
      <c r="DA125" s="237"/>
      <c r="DB125" s="209"/>
      <c r="DC125" s="209"/>
      <c r="DD125" s="220"/>
      <c r="DE125" s="208"/>
      <c r="DF125" s="208"/>
      <c r="DG125" s="221"/>
      <c r="DI125" s="205" t="str">
        <f>$B125</f>
        <v>Finale</v>
      </c>
      <c r="DJ125" s="207"/>
      <c r="DK125" s="207"/>
      <c r="DL125" s="208"/>
      <c r="DM125" s="236"/>
      <c r="DN125" s="237"/>
      <c r="DO125" s="209"/>
      <c r="DP125" s="209"/>
      <c r="DQ125" s="220"/>
      <c r="DR125" s="208"/>
      <c r="DS125" s="208"/>
      <c r="DT125" s="221"/>
      <c r="DV125" s="205" t="str">
        <f>$B125</f>
        <v>Finale</v>
      </c>
      <c r="DW125" s="207"/>
      <c r="DX125" s="207"/>
      <c r="DY125" s="208"/>
      <c r="DZ125" s="236"/>
      <c r="EA125" s="237"/>
      <c r="EB125" s="209"/>
      <c r="EC125" s="209"/>
      <c r="ED125" s="220"/>
      <c r="EE125" s="208"/>
      <c r="EF125" s="208"/>
      <c r="EG125" s="221"/>
      <c r="EI125" s="205" t="str">
        <f>$B125</f>
        <v>Finale</v>
      </c>
      <c r="EJ125" s="207"/>
      <c r="EK125" s="207"/>
      <c r="EL125" s="208"/>
      <c r="EM125" s="236"/>
      <c r="EN125" s="237"/>
      <c r="EO125" s="209"/>
      <c r="EP125" s="209"/>
      <c r="EQ125" s="220"/>
      <c r="ER125" s="208"/>
      <c r="ES125" s="208"/>
      <c r="ET125" s="221"/>
      <c r="EV125" s="205" t="str">
        <f>$B125</f>
        <v>Finale</v>
      </c>
      <c r="EW125" s="207"/>
      <c r="EX125" s="207"/>
      <c r="EY125" s="208"/>
      <c r="EZ125" s="236"/>
      <c r="FA125" s="237"/>
      <c r="FB125" s="209"/>
      <c r="FC125" s="209"/>
      <c r="FD125" s="220"/>
      <c r="FE125" s="208"/>
      <c r="FF125" s="208"/>
      <c r="FG125" s="221"/>
      <c r="FI125" s="205" t="str">
        <f>$B125</f>
        <v>Finale</v>
      </c>
      <c r="FJ125" s="207"/>
      <c r="FK125" s="207"/>
      <c r="FL125" s="208"/>
      <c r="FM125" s="236"/>
      <c r="FN125" s="237"/>
      <c r="FO125" s="209"/>
      <c r="FP125" s="209"/>
      <c r="FQ125" s="220"/>
      <c r="FR125" s="208"/>
      <c r="FS125" s="208"/>
      <c r="FT125" s="221"/>
      <c r="FV125" s="205" t="str">
        <f>$B125</f>
        <v>Finale</v>
      </c>
      <c r="FW125" s="207"/>
      <c r="FX125" s="207"/>
      <c r="FY125" s="208"/>
      <c r="FZ125" s="236"/>
      <c r="GA125" s="237"/>
      <c r="GB125" s="209"/>
      <c r="GC125" s="209"/>
      <c r="GD125" s="220"/>
      <c r="GE125" s="208"/>
      <c r="GF125" s="208"/>
      <c r="GG125" s="221"/>
      <c r="GI125" s="205" t="str">
        <f>$B125</f>
        <v>Finale</v>
      </c>
      <c r="GJ125" s="207"/>
      <c r="GK125" s="207"/>
      <c r="GL125" s="208"/>
      <c r="GM125" s="236"/>
      <c r="GN125" s="237"/>
      <c r="GO125" s="209"/>
      <c r="GP125" s="209"/>
      <c r="GQ125" s="220"/>
      <c r="GR125" s="208"/>
      <c r="GS125" s="208"/>
      <c r="GT125" s="221"/>
      <c r="GV125" s="205" t="str">
        <f>$B125</f>
        <v>Finale</v>
      </c>
      <c r="GW125" s="207"/>
      <c r="GX125" s="207"/>
      <c r="GY125" s="208"/>
      <c r="GZ125" s="236"/>
      <c r="HA125" s="237"/>
      <c r="HB125" s="209"/>
      <c r="HC125" s="209"/>
      <c r="HD125" s="220"/>
      <c r="HE125" s="208"/>
      <c r="HF125" s="208"/>
      <c r="HG125" s="221"/>
      <c r="HI125" s="205" t="str">
        <f>$B125</f>
        <v>Finale</v>
      </c>
      <c r="HJ125" s="207"/>
      <c r="HK125" s="207"/>
      <c r="HL125" s="208"/>
      <c r="HM125" s="236"/>
      <c r="HN125" s="237"/>
      <c r="HO125" s="209"/>
      <c r="HP125" s="209"/>
      <c r="HQ125" s="220"/>
      <c r="HR125" s="208"/>
      <c r="HS125" s="208"/>
      <c r="HT125" s="221"/>
      <c r="HV125" s="205" t="str">
        <f>$B125</f>
        <v>Finale</v>
      </c>
      <c r="HW125" s="207"/>
      <c r="HX125" s="207"/>
      <c r="HY125" s="208"/>
      <c r="HZ125" s="236"/>
      <c r="IA125" s="237"/>
      <c r="IB125" s="209"/>
      <c r="IC125" s="209"/>
      <c r="ID125" s="220"/>
      <c r="IE125" s="208"/>
      <c r="IF125" s="208"/>
      <c r="IG125" s="221"/>
      <c r="II125" s="205" t="str">
        <f>$B125</f>
        <v>Finale</v>
      </c>
      <c r="IJ125" s="207"/>
      <c r="IK125" s="207"/>
      <c r="IL125" s="208"/>
      <c r="IM125" s="236"/>
      <c r="IN125" s="237"/>
      <c r="IO125" s="209"/>
      <c r="IP125" s="209"/>
      <c r="IQ125" s="220"/>
      <c r="IR125" s="208"/>
      <c r="IS125" s="208"/>
      <c r="IT125" s="221"/>
      <c r="IV125" s="205" t="str">
        <f>$B125</f>
        <v>Finale</v>
      </c>
      <c r="IW125" s="207"/>
      <c r="IX125" s="207"/>
      <c r="IY125" s="208"/>
      <c r="IZ125" s="236"/>
      <c r="JA125" s="237"/>
      <c r="JB125" s="209"/>
      <c r="JC125" s="209"/>
      <c r="JD125" s="220"/>
      <c r="JE125" s="208"/>
      <c r="JF125" s="208"/>
      <c r="JG125" s="221"/>
      <c r="JI125" s="205" t="str">
        <f>$B125</f>
        <v>Finale</v>
      </c>
      <c r="JJ125" s="207"/>
      <c r="JK125" s="207"/>
      <c r="JL125" s="208"/>
      <c r="JM125" s="236"/>
      <c r="JN125" s="237"/>
      <c r="JO125" s="209"/>
      <c r="JP125" s="209"/>
      <c r="JQ125" s="220"/>
      <c r="JR125" s="208"/>
      <c r="JS125" s="208"/>
      <c r="JT125" s="221"/>
      <c r="JV125" s="205" t="str">
        <f>$B125</f>
        <v>Finale</v>
      </c>
      <c r="JW125" s="207"/>
      <c r="JX125" s="207"/>
      <c r="JY125" s="208"/>
      <c r="JZ125" s="236"/>
      <c r="KA125" s="237"/>
      <c r="KB125" s="209"/>
      <c r="KC125" s="209"/>
      <c r="KD125" s="220"/>
      <c r="KE125" s="208"/>
      <c r="KF125" s="208"/>
      <c r="KG125" s="221"/>
      <c r="KI125" s="205" t="str">
        <f>$B125</f>
        <v>Finale</v>
      </c>
      <c r="KJ125" s="207"/>
      <c r="KK125" s="207"/>
      <c r="KL125" s="208"/>
      <c r="KM125" s="236"/>
      <c r="KN125" s="237"/>
      <c r="KO125" s="209"/>
      <c r="KP125" s="209"/>
      <c r="KQ125" s="220"/>
      <c r="KR125" s="208"/>
      <c r="KS125" s="208"/>
      <c r="KT125" s="221"/>
      <c r="KV125" s="205" t="str">
        <f>$B125</f>
        <v>Finale</v>
      </c>
      <c r="KW125" s="207"/>
      <c r="KX125" s="207"/>
      <c r="KY125" s="208"/>
      <c r="KZ125" s="236"/>
      <c r="LA125" s="237"/>
      <c r="LB125" s="209"/>
      <c r="LC125" s="209"/>
      <c r="LD125" s="220"/>
      <c r="LE125" s="208"/>
      <c r="LF125" s="208"/>
      <c r="LG125" s="221"/>
      <c r="LI125" s="205" t="str">
        <f>$B125</f>
        <v>Finale</v>
      </c>
      <c r="LJ125" s="207"/>
      <c r="LK125" s="207"/>
      <c r="LL125" s="208"/>
      <c r="LM125" s="236"/>
      <c r="LN125" s="237"/>
      <c r="LO125" s="209"/>
      <c r="LP125" s="209"/>
      <c r="LQ125" s="220"/>
      <c r="LR125" s="208"/>
      <c r="LS125" s="208"/>
      <c r="LT125" s="221"/>
      <c r="LV125" s="205" t="str">
        <f>$B125</f>
        <v>Finale</v>
      </c>
      <c r="LW125" s="207"/>
      <c r="LX125" s="207"/>
      <c r="LY125" s="208"/>
      <c r="LZ125" s="236"/>
      <c r="MA125" s="237"/>
      <c r="MB125" s="209"/>
      <c r="MC125" s="209"/>
      <c r="MD125" s="220"/>
      <c r="ME125" s="208"/>
      <c r="MF125" s="208"/>
      <c r="MG125" s="221"/>
    </row>
    <row r="126" spans="1:345" ht="16" thickBot="1">
      <c r="B126" s="201" t="str">
        <f>IF(C126="","",INDEX(Groups!$C$7:$C$65,MATCH(C126,Groups!$D$7:$D$65,0)))</f>
        <v/>
      </c>
      <c r="C126" s="202" t="str">
        <f>'World Cup'!$L$98</f>
        <v/>
      </c>
      <c r="D126" s="203" t="str">
        <f>IF(E126="","",INDEX(Groups!$C$7:$C$65,MATCH(E126,Groups!$D$7:$D$65,0)))</f>
        <v/>
      </c>
      <c r="E126" s="204" t="str">
        <f>'World Cup'!$N$98</f>
        <v/>
      </c>
      <c r="F126" s="302" t="str">
        <f>IF(AND('World Cup'!$L$99&lt;&gt;"",'World Cup'!$N$99&lt;&gt;""),'World Cup'!$L$99+IF(AND('World Cup'!$L$101&lt;&gt;"",'World Cup'!$N$101&lt;&gt;"",'World Cup'!$L$99='World Cup'!$N$99),'World Cup'!$L$101,0),"")</f>
        <v/>
      </c>
      <c r="G126" s="303"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2">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2"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2">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2"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2">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2"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2">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2"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2">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2"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2">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2"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2">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2"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2">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2"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2">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2"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2">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2"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2">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2"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2">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2"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2">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2"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2">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2"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2">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2"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2">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2"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2">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2"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2">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2"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2">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2"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2">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2"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2">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2"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2">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2"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2">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2"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2">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2"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2">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2"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2">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2" t="str">
        <f>IF(($C126&amp;$E126&lt;&gt;"")*(LV126&amp;LX126&lt;&gt;""),IF(MC126&lt;&gt;1,0,($B126=LV126)+($D126=LV126))+IF(MB108&lt;&gt;1,0,($B126=LX126)+($D126=LX126)),"")</f>
        <v/>
      </c>
    </row>
    <row r="127" spans="1:345" ht="40.5" customHeight="1" thickTop="1">
      <c r="L127" s="306"/>
      <c r="O127" s="307" t="str">
        <f>Language!$E$219</f>
        <v>Finale</v>
      </c>
      <c r="P127" s="307" t="str">
        <f>Language!$E$210</f>
        <v>W/G/V</v>
      </c>
      <c r="Q127" s="307" t="str">
        <f>Language!$E$211</f>
        <v>DS</v>
      </c>
      <c r="R127" s="307" t="str">
        <f>Language!$E$212</f>
        <v>exact</v>
      </c>
      <c r="S127" s="307" t="str">
        <f>Language!$E$224</f>
        <v>grote aant.</v>
      </c>
      <c r="T127" s="308" t="str">
        <f>Language!$E$213</f>
        <v>teams</v>
      </c>
      <c r="Y127" s="306"/>
      <c r="AB127" s="307" t="str">
        <f>Language!$E$219</f>
        <v>Finale</v>
      </c>
      <c r="AC127" s="307" t="str">
        <f>Language!$E$210</f>
        <v>W/G/V</v>
      </c>
      <c r="AD127" s="307" t="str">
        <f>Language!$E$211</f>
        <v>DS</v>
      </c>
      <c r="AE127" s="307" t="str">
        <f>Language!$E$212</f>
        <v>exact</v>
      </c>
      <c r="AF127" s="307" t="str">
        <f>Language!$E$224</f>
        <v>grote aant.</v>
      </c>
      <c r="AG127" s="308" t="str">
        <f>Language!$E$213</f>
        <v>teams</v>
      </c>
      <c r="AL127" s="306"/>
      <c r="AO127" s="307" t="str">
        <f>Language!$E$219</f>
        <v>Finale</v>
      </c>
      <c r="AP127" s="307" t="str">
        <f>Language!$E$210</f>
        <v>W/G/V</v>
      </c>
      <c r="AQ127" s="307" t="str">
        <f>Language!$E$211</f>
        <v>DS</v>
      </c>
      <c r="AR127" s="307" t="str">
        <f>Language!$E$212</f>
        <v>exact</v>
      </c>
      <c r="AS127" s="307" t="str">
        <f>Language!$E$224</f>
        <v>grote aant.</v>
      </c>
      <c r="AT127" s="308" t="str">
        <f>Language!$E$213</f>
        <v>teams</v>
      </c>
      <c r="AY127" s="306"/>
      <c r="BB127" s="307" t="str">
        <f>Language!$E$219</f>
        <v>Finale</v>
      </c>
      <c r="BC127" s="307" t="str">
        <f>Language!$E$210</f>
        <v>W/G/V</v>
      </c>
      <c r="BD127" s="307" t="str">
        <f>Language!$E$211</f>
        <v>DS</v>
      </c>
      <c r="BE127" s="307" t="str">
        <f>Language!$E$212</f>
        <v>exact</v>
      </c>
      <c r="BF127" s="307" t="str">
        <f>Language!$E$224</f>
        <v>grote aant.</v>
      </c>
      <c r="BG127" s="308" t="str">
        <f>Language!$E$213</f>
        <v>teams</v>
      </c>
      <c r="BL127" s="306"/>
      <c r="BO127" s="307" t="str">
        <f>Language!$E$219</f>
        <v>Finale</v>
      </c>
      <c r="BP127" s="307" t="str">
        <f>Language!$E$210</f>
        <v>W/G/V</v>
      </c>
      <c r="BQ127" s="307" t="str">
        <f>Language!$E$211</f>
        <v>DS</v>
      </c>
      <c r="BR127" s="307" t="str">
        <f>Language!$E$212</f>
        <v>exact</v>
      </c>
      <c r="BS127" s="307" t="str">
        <f>Language!$E$224</f>
        <v>grote aant.</v>
      </c>
      <c r="BT127" s="308" t="str">
        <f>Language!$E$213</f>
        <v>teams</v>
      </c>
      <c r="BY127" s="306"/>
      <c r="CB127" s="307" t="str">
        <f>Language!$E$219</f>
        <v>Finale</v>
      </c>
      <c r="CC127" s="307" t="str">
        <f>Language!$E$210</f>
        <v>W/G/V</v>
      </c>
      <c r="CD127" s="307" t="str">
        <f>Language!$E$211</f>
        <v>DS</v>
      </c>
      <c r="CE127" s="307" t="str">
        <f>Language!$E$212</f>
        <v>exact</v>
      </c>
      <c r="CF127" s="307" t="str">
        <f>Language!$E$224</f>
        <v>grote aant.</v>
      </c>
      <c r="CG127" s="308" t="str">
        <f>Language!$E$213</f>
        <v>teams</v>
      </c>
      <c r="CL127" s="306"/>
      <c r="CO127" s="307" t="str">
        <f>Language!$E$219</f>
        <v>Finale</v>
      </c>
      <c r="CP127" s="307" t="str">
        <f>Language!$E$210</f>
        <v>W/G/V</v>
      </c>
      <c r="CQ127" s="307" t="str">
        <f>Language!$E$211</f>
        <v>DS</v>
      </c>
      <c r="CR127" s="307" t="str">
        <f>Language!$E$212</f>
        <v>exact</v>
      </c>
      <c r="CS127" s="307" t="str">
        <f>Language!$E$224</f>
        <v>grote aant.</v>
      </c>
      <c r="CT127" s="308" t="str">
        <f>Language!$E$213</f>
        <v>teams</v>
      </c>
      <c r="CY127" s="306"/>
      <c r="DB127" s="307" t="str">
        <f>Language!$E$219</f>
        <v>Finale</v>
      </c>
      <c r="DC127" s="307" t="str">
        <f>Language!$E$210</f>
        <v>W/G/V</v>
      </c>
      <c r="DD127" s="307" t="str">
        <f>Language!$E$211</f>
        <v>DS</v>
      </c>
      <c r="DE127" s="307" t="str">
        <f>Language!$E$212</f>
        <v>exact</v>
      </c>
      <c r="DF127" s="307" t="str">
        <f>Language!$E$224</f>
        <v>grote aant.</v>
      </c>
      <c r="DG127" s="308" t="str">
        <f>Language!$E$213</f>
        <v>teams</v>
      </c>
      <c r="DL127" s="306"/>
      <c r="DO127" s="307" t="str">
        <f>Language!$E$219</f>
        <v>Finale</v>
      </c>
      <c r="DP127" s="307" t="str">
        <f>Language!$E$210</f>
        <v>W/G/V</v>
      </c>
      <c r="DQ127" s="307" t="str">
        <f>Language!$E$211</f>
        <v>DS</v>
      </c>
      <c r="DR127" s="307" t="str">
        <f>Language!$E$212</f>
        <v>exact</v>
      </c>
      <c r="DS127" s="307" t="str">
        <f>Language!$E$224</f>
        <v>grote aant.</v>
      </c>
      <c r="DT127" s="308" t="str">
        <f>Language!$E$213</f>
        <v>teams</v>
      </c>
      <c r="DY127" s="306"/>
      <c r="EB127" s="307" t="str">
        <f>Language!$E$219</f>
        <v>Finale</v>
      </c>
      <c r="EC127" s="307" t="str">
        <f>Language!$E$210</f>
        <v>W/G/V</v>
      </c>
      <c r="ED127" s="307" t="str">
        <f>Language!$E$211</f>
        <v>DS</v>
      </c>
      <c r="EE127" s="307" t="str">
        <f>Language!$E$212</f>
        <v>exact</v>
      </c>
      <c r="EF127" s="307" t="str">
        <f>Language!$E$224</f>
        <v>grote aant.</v>
      </c>
      <c r="EG127" s="308" t="str">
        <f>Language!$E$213</f>
        <v>teams</v>
      </c>
      <c r="EL127" s="306"/>
      <c r="EO127" s="307" t="str">
        <f>Language!$E$219</f>
        <v>Finale</v>
      </c>
      <c r="EP127" s="307" t="str">
        <f>Language!$E$210</f>
        <v>W/G/V</v>
      </c>
      <c r="EQ127" s="307" t="str">
        <f>Language!$E$211</f>
        <v>DS</v>
      </c>
      <c r="ER127" s="307" t="str">
        <f>Language!$E$212</f>
        <v>exact</v>
      </c>
      <c r="ES127" s="307" t="str">
        <f>Language!$E$224</f>
        <v>grote aant.</v>
      </c>
      <c r="ET127" s="308" t="str">
        <f>Language!$E$213</f>
        <v>teams</v>
      </c>
      <c r="EY127" s="306"/>
      <c r="FB127" s="307" t="str">
        <f>Language!$E$219</f>
        <v>Finale</v>
      </c>
      <c r="FC127" s="307" t="str">
        <f>Language!$E$210</f>
        <v>W/G/V</v>
      </c>
      <c r="FD127" s="307" t="str">
        <f>Language!$E$211</f>
        <v>DS</v>
      </c>
      <c r="FE127" s="307" t="str">
        <f>Language!$E$212</f>
        <v>exact</v>
      </c>
      <c r="FF127" s="307" t="str">
        <f>Language!$E$224</f>
        <v>grote aant.</v>
      </c>
      <c r="FG127" s="308" t="str">
        <f>Language!$E$213</f>
        <v>teams</v>
      </c>
      <c r="FL127" s="306"/>
      <c r="FO127" s="307" t="str">
        <f>Language!$E$219</f>
        <v>Finale</v>
      </c>
      <c r="FP127" s="307" t="str">
        <f>Language!$E$210</f>
        <v>W/G/V</v>
      </c>
      <c r="FQ127" s="307" t="str">
        <f>Language!$E$211</f>
        <v>DS</v>
      </c>
      <c r="FR127" s="307" t="str">
        <f>Language!$E$212</f>
        <v>exact</v>
      </c>
      <c r="FS127" s="307" t="str">
        <f>Language!$E$224</f>
        <v>grote aant.</v>
      </c>
      <c r="FT127" s="308" t="str">
        <f>Language!$E$213</f>
        <v>teams</v>
      </c>
      <c r="FY127" s="306"/>
      <c r="GB127" s="307" t="str">
        <f>Language!$E$219</f>
        <v>Finale</v>
      </c>
      <c r="GC127" s="307" t="str">
        <f>Language!$E$210</f>
        <v>W/G/V</v>
      </c>
      <c r="GD127" s="307" t="str">
        <f>Language!$E$211</f>
        <v>DS</v>
      </c>
      <c r="GE127" s="307" t="str">
        <f>Language!$E$212</f>
        <v>exact</v>
      </c>
      <c r="GF127" s="307" t="str">
        <f>Language!$E$224</f>
        <v>grote aant.</v>
      </c>
      <c r="GG127" s="308" t="str">
        <f>Language!$E$213</f>
        <v>teams</v>
      </c>
      <c r="GL127" s="306"/>
      <c r="GO127" s="307" t="str">
        <f>Language!$E$219</f>
        <v>Finale</v>
      </c>
      <c r="GP127" s="307" t="str">
        <f>Language!$E$210</f>
        <v>W/G/V</v>
      </c>
      <c r="GQ127" s="307" t="str">
        <f>Language!$E$211</f>
        <v>DS</v>
      </c>
      <c r="GR127" s="307" t="str">
        <f>Language!$E$212</f>
        <v>exact</v>
      </c>
      <c r="GS127" s="307" t="str">
        <f>Language!$E$224</f>
        <v>grote aant.</v>
      </c>
      <c r="GT127" s="308" t="str">
        <f>Language!$E$213</f>
        <v>teams</v>
      </c>
      <c r="GY127" s="306"/>
      <c r="HB127" s="307" t="str">
        <f>Language!$E$219</f>
        <v>Finale</v>
      </c>
      <c r="HC127" s="307" t="str">
        <f>Language!$E$210</f>
        <v>W/G/V</v>
      </c>
      <c r="HD127" s="307" t="str">
        <f>Language!$E$211</f>
        <v>DS</v>
      </c>
      <c r="HE127" s="307" t="str">
        <f>Language!$E$212</f>
        <v>exact</v>
      </c>
      <c r="HF127" s="307" t="str">
        <f>Language!$E$224</f>
        <v>grote aant.</v>
      </c>
      <c r="HG127" s="308" t="str">
        <f>Language!$E$213</f>
        <v>teams</v>
      </c>
      <c r="HL127" s="306"/>
      <c r="HO127" s="307" t="str">
        <f>Language!$E$219</f>
        <v>Finale</v>
      </c>
      <c r="HP127" s="307" t="str">
        <f>Language!$E$210</f>
        <v>W/G/V</v>
      </c>
      <c r="HQ127" s="307" t="str">
        <f>Language!$E$211</f>
        <v>DS</v>
      </c>
      <c r="HR127" s="307" t="str">
        <f>Language!$E$212</f>
        <v>exact</v>
      </c>
      <c r="HS127" s="307" t="str">
        <f>Language!$E$224</f>
        <v>grote aant.</v>
      </c>
      <c r="HT127" s="308" t="str">
        <f>Language!$E$213</f>
        <v>teams</v>
      </c>
      <c r="HY127" s="306"/>
      <c r="IB127" s="307" t="str">
        <f>Language!$E$219</f>
        <v>Finale</v>
      </c>
      <c r="IC127" s="307" t="str">
        <f>Language!$E$210</f>
        <v>W/G/V</v>
      </c>
      <c r="ID127" s="307" t="str">
        <f>Language!$E$211</f>
        <v>DS</v>
      </c>
      <c r="IE127" s="307" t="str">
        <f>Language!$E$212</f>
        <v>exact</v>
      </c>
      <c r="IF127" s="307" t="str">
        <f>Language!$E$224</f>
        <v>grote aant.</v>
      </c>
      <c r="IG127" s="308" t="str">
        <f>Language!$E$213</f>
        <v>teams</v>
      </c>
      <c r="IL127" s="306"/>
      <c r="IO127" s="307" t="str">
        <f>Language!$E$219</f>
        <v>Finale</v>
      </c>
      <c r="IP127" s="307" t="str">
        <f>Language!$E$210</f>
        <v>W/G/V</v>
      </c>
      <c r="IQ127" s="307" t="str">
        <f>Language!$E$211</f>
        <v>DS</v>
      </c>
      <c r="IR127" s="307" t="str">
        <f>Language!$E$212</f>
        <v>exact</v>
      </c>
      <c r="IS127" s="307" t="str">
        <f>Language!$E$224</f>
        <v>grote aant.</v>
      </c>
      <c r="IT127" s="308" t="str">
        <f>Language!$E$213</f>
        <v>teams</v>
      </c>
      <c r="IY127" s="306"/>
      <c r="JB127" s="307" t="str">
        <f>Language!$E$219</f>
        <v>Finale</v>
      </c>
      <c r="JC127" s="307" t="str">
        <f>Language!$E$210</f>
        <v>W/G/V</v>
      </c>
      <c r="JD127" s="307" t="str">
        <f>Language!$E$211</f>
        <v>DS</v>
      </c>
      <c r="JE127" s="307" t="str">
        <f>Language!$E$212</f>
        <v>exact</v>
      </c>
      <c r="JF127" s="307" t="str">
        <f>Language!$E$224</f>
        <v>grote aant.</v>
      </c>
      <c r="JG127" s="308" t="str">
        <f>Language!$E$213</f>
        <v>teams</v>
      </c>
      <c r="JL127" s="306"/>
      <c r="JO127" s="307" t="str">
        <f>Language!$E$219</f>
        <v>Finale</v>
      </c>
      <c r="JP127" s="307" t="str">
        <f>Language!$E$210</f>
        <v>W/G/V</v>
      </c>
      <c r="JQ127" s="307" t="str">
        <f>Language!$E$211</f>
        <v>DS</v>
      </c>
      <c r="JR127" s="307" t="str">
        <f>Language!$E$212</f>
        <v>exact</v>
      </c>
      <c r="JS127" s="307" t="str">
        <f>Language!$E$224</f>
        <v>grote aant.</v>
      </c>
      <c r="JT127" s="308" t="str">
        <f>Language!$E$213</f>
        <v>teams</v>
      </c>
      <c r="JY127" s="306"/>
      <c r="KB127" s="307" t="str">
        <f>Language!$E$219</f>
        <v>Finale</v>
      </c>
      <c r="KC127" s="307" t="str">
        <f>Language!$E$210</f>
        <v>W/G/V</v>
      </c>
      <c r="KD127" s="307" t="str">
        <f>Language!$E$211</f>
        <v>DS</v>
      </c>
      <c r="KE127" s="307" t="str">
        <f>Language!$E$212</f>
        <v>exact</v>
      </c>
      <c r="KF127" s="307" t="str">
        <f>Language!$E$224</f>
        <v>grote aant.</v>
      </c>
      <c r="KG127" s="308" t="str">
        <f>Language!$E$213</f>
        <v>teams</v>
      </c>
      <c r="KL127" s="306"/>
      <c r="KO127" s="307" t="str">
        <f>Language!$E$219</f>
        <v>Finale</v>
      </c>
      <c r="KP127" s="307" t="str">
        <f>Language!$E$210</f>
        <v>W/G/V</v>
      </c>
      <c r="KQ127" s="307" t="str">
        <f>Language!$E$211</f>
        <v>DS</v>
      </c>
      <c r="KR127" s="307" t="str">
        <f>Language!$E$212</f>
        <v>exact</v>
      </c>
      <c r="KS127" s="307" t="str">
        <f>Language!$E$224</f>
        <v>grote aant.</v>
      </c>
      <c r="KT127" s="308" t="str">
        <f>Language!$E$213</f>
        <v>teams</v>
      </c>
      <c r="KY127" s="306"/>
      <c r="LB127" s="307" t="str">
        <f>Language!$E$219</f>
        <v>Finale</v>
      </c>
      <c r="LC127" s="307" t="str">
        <f>Language!$E$210</f>
        <v>W/G/V</v>
      </c>
      <c r="LD127" s="307" t="str">
        <f>Language!$E$211</f>
        <v>DS</v>
      </c>
      <c r="LE127" s="307" t="str">
        <f>Language!$E$212</f>
        <v>exact</v>
      </c>
      <c r="LF127" s="307" t="str">
        <f>Language!$E$224</f>
        <v>grote aant.</v>
      </c>
      <c r="LG127" s="308" t="str">
        <f>Language!$E$213</f>
        <v>teams</v>
      </c>
      <c r="LL127" s="306"/>
      <c r="LO127" s="307" t="str">
        <f>Language!$E$219</f>
        <v>Finale</v>
      </c>
      <c r="LP127" s="307" t="str">
        <f>Language!$E$210</f>
        <v>W/G/V</v>
      </c>
      <c r="LQ127" s="307" t="str">
        <f>Language!$E$211</f>
        <v>DS</v>
      </c>
      <c r="LR127" s="307" t="str">
        <f>Language!$E$212</f>
        <v>exact</v>
      </c>
      <c r="LS127" s="307" t="str">
        <f>Language!$E$224</f>
        <v>grote aant.</v>
      </c>
      <c r="LT127" s="308" t="str">
        <f>Language!$E$213</f>
        <v>teams</v>
      </c>
      <c r="LY127" s="306"/>
      <c r="MB127" s="307" t="str">
        <f>Language!$E$219</f>
        <v>Finale</v>
      </c>
      <c r="MC127" s="307" t="str">
        <f>Language!$E$210</f>
        <v>W/G/V</v>
      </c>
      <c r="MD127" s="307" t="str">
        <f>Language!$E$211</f>
        <v>DS</v>
      </c>
      <c r="ME127" s="307" t="str">
        <f>Language!$E$212</f>
        <v>exact</v>
      </c>
      <c r="MF127" s="307" t="str">
        <f>Language!$E$224</f>
        <v>grote aant.</v>
      </c>
      <c r="MG127" s="308" t="str">
        <f>Language!$E$213</f>
        <v>teams</v>
      </c>
    </row>
    <row r="128" spans="1:345">
      <c r="L128" s="875" t="str">
        <f>Language!$E$245</f>
        <v>Nummer:</v>
      </c>
      <c r="M128" s="876"/>
      <c r="N128" s="877"/>
      <c r="O128" s="198">
        <f>SUM(O124:O126)</f>
        <v>0</v>
      </c>
      <c r="P128" s="198">
        <f>SUM(P6:P122)</f>
        <v>0</v>
      </c>
      <c r="Q128" s="198">
        <f>SUM(Q6:Q126)</f>
        <v>0</v>
      </c>
      <c r="R128" s="198">
        <f>SUM(R6:R126)</f>
        <v>0</v>
      </c>
      <c r="S128" s="198">
        <f>SUM(S6:S126)</f>
        <v>0</v>
      </c>
      <c r="T128" s="219">
        <f>SUM(T107:T122)+SUM(T126:T126)</f>
        <v>0</v>
      </c>
      <c r="Y128" s="875" t="str">
        <f>Language!$E$245</f>
        <v>Nummer:</v>
      </c>
      <c r="Z128" s="876"/>
      <c r="AA128" s="877"/>
      <c r="AB128" s="198">
        <f>SUM(AB124:AB126)</f>
        <v>0</v>
      </c>
      <c r="AC128" s="198">
        <f>SUM(AC6:AC122)</f>
        <v>0</v>
      </c>
      <c r="AD128" s="198">
        <f>SUM(AD6:AD126)</f>
        <v>0</v>
      </c>
      <c r="AE128" s="198">
        <f>SUM(AE6:AE126)</f>
        <v>0</v>
      </c>
      <c r="AF128" s="198">
        <f>SUM(AF6:AF126)</f>
        <v>0</v>
      </c>
      <c r="AG128" s="219">
        <f>SUM(AG107:AG122)+SUM(AG126:AG126)</f>
        <v>0</v>
      </c>
      <c r="AL128" s="875" t="str">
        <f>Language!$E$245</f>
        <v>Nummer:</v>
      </c>
      <c r="AM128" s="876"/>
      <c r="AN128" s="877"/>
      <c r="AO128" s="198">
        <f>SUM(AO124:AO126)</f>
        <v>0</v>
      </c>
      <c r="AP128" s="198">
        <f>SUM(AP6:AP122)</f>
        <v>0</v>
      </c>
      <c r="AQ128" s="198">
        <f>SUM(AQ6:AQ126)</f>
        <v>0</v>
      </c>
      <c r="AR128" s="198">
        <f>SUM(AR6:AR126)</f>
        <v>0</v>
      </c>
      <c r="AS128" s="198">
        <f>SUM(AS6:AS126)</f>
        <v>0</v>
      </c>
      <c r="AT128" s="219">
        <f>SUM(AT107:AT122)+SUM(AT126:AT126)</f>
        <v>0</v>
      </c>
      <c r="AY128" s="875" t="str">
        <f>Language!$E$245</f>
        <v>Nummer:</v>
      </c>
      <c r="AZ128" s="876"/>
      <c r="BA128" s="877"/>
      <c r="BB128" s="198">
        <f>SUM(BB124:BB126)</f>
        <v>0</v>
      </c>
      <c r="BC128" s="198">
        <f>SUM(BC6:BC122)</f>
        <v>0</v>
      </c>
      <c r="BD128" s="198">
        <f>SUM(BD6:BD126)</f>
        <v>0</v>
      </c>
      <c r="BE128" s="198">
        <f>SUM(BE6:BE126)</f>
        <v>0</v>
      </c>
      <c r="BF128" s="198">
        <f>SUM(BF6:BF126)</f>
        <v>0</v>
      </c>
      <c r="BG128" s="219">
        <f>SUM(BG107:BG122)+SUM(BG126:BG126)</f>
        <v>0</v>
      </c>
      <c r="BL128" s="875" t="str">
        <f>Language!$E$245</f>
        <v>Nummer:</v>
      </c>
      <c r="BM128" s="876"/>
      <c r="BN128" s="877"/>
      <c r="BO128" s="198">
        <f>SUM(BO124:BO126)</f>
        <v>0</v>
      </c>
      <c r="BP128" s="198">
        <f>SUM(BP6:BP122)</f>
        <v>0</v>
      </c>
      <c r="BQ128" s="198">
        <f>SUM(BQ6:BQ126)</f>
        <v>0</v>
      </c>
      <c r="BR128" s="198">
        <f>SUM(BR6:BR126)</f>
        <v>0</v>
      </c>
      <c r="BS128" s="198">
        <f>SUM(BS6:BS126)</f>
        <v>0</v>
      </c>
      <c r="BT128" s="219">
        <f>SUM(BT107:BT122)+SUM(BT126:BT126)</f>
        <v>0</v>
      </c>
      <c r="BY128" s="875" t="str">
        <f>Language!$E$245</f>
        <v>Nummer:</v>
      </c>
      <c r="BZ128" s="876"/>
      <c r="CA128" s="877"/>
      <c r="CB128" s="198">
        <f>SUM(CB124:CB126)</f>
        <v>0</v>
      </c>
      <c r="CC128" s="198">
        <f>SUM(CC6:CC122)</f>
        <v>0</v>
      </c>
      <c r="CD128" s="198">
        <f>SUM(CD6:CD126)</f>
        <v>0</v>
      </c>
      <c r="CE128" s="198">
        <f>SUM(CE6:CE126)</f>
        <v>0</v>
      </c>
      <c r="CF128" s="198">
        <f>SUM(CF6:CF126)</f>
        <v>0</v>
      </c>
      <c r="CG128" s="219">
        <f>SUM(CG107:CG122)+SUM(CG126:CG126)</f>
        <v>0</v>
      </c>
      <c r="CL128" s="875" t="str">
        <f>Language!$E$245</f>
        <v>Nummer:</v>
      </c>
      <c r="CM128" s="876"/>
      <c r="CN128" s="877"/>
      <c r="CO128" s="198">
        <f>SUM(CO124:CO126)</f>
        <v>0</v>
      </c>
      <c r="CP128" s="198">
        <f>SUM(CP6:CP122)</f>
        <v>0</v>
      </c>
      <c r="CQ128" s="198">
        <f>SUM(CQ6:CQ126)</f>
        <v>0</v>
      </c>
      <c r="CR128" s="198">
        <f>SUM(CR6:CR126)</f>
        <v>0</v>
      </c>
      <c r="CS128" s="198">
        <f>SUM(CS6:CS126)</f>
        <v>0</v>
      </c>
      <c r="CT128" s="219">
        <f>SUM(CT107:CT122)+SUM(CT126:CT126)</f>
        <v>0</v>
      </c>
      <c r="CY128" s="875" t="str">
        <f>Language!$E$245</f>
        <v>Nummer:</v>
      </c>
      <c r="CZ128" s="876"/>
      <c r="DA128" s="877"/>
      <c r="DB128" s="198">
        <f>SUM(DB124:DB126)</f>
        <v>0</v>
      </c>
      <c r="DC128" s="198">
        <f>SUM(DC6:DC122)</f>
        <v>0</v>
      </c>
      <c r="DD128" s="198">
        <f>SUM(DD6:DD126)</f>
        <v>0</v>
      </c>
      <c r="DE128" s="198">
        <f>SUM(DE6:DE126)</f>
        <v>0</v>
      </c>
      <c r="DF128" s="198">
        <f>SUM(DF6:DF126)</f>
        <v>0</v>
      </c>
      <c r="DG128" s="219">
        <f>SUM(DG107:DG122)+SUM(DG126:DG126)</f>
        <v>0</v>
      </c>
      <c r="DL128" s="875" t="str">
        <f>Language!$E$245</f>
        <v>Nummer:</v>
      </c>
      <c r="DM128" s="876"/>
      <c r="DN128" s="877"/>
      <c r="DO128" s="198">
        <f>SUM(DO124:DO126)</f>
        <v>0</v>
      </c>
      <c r="DP128" s="198">
        <f>SUM(DP6:DP122)</f>
        <v>0</v>
      </c>
      <c r="DQ128" s="198">
        <f>SUM(DQ6:DQ126)</f>
        <v>0</v>
      </c>
      <c r="DR128" s="198">
        <f>SUM(DR6:DR126)</f>
        <v>0</v>
      </c>
      <c r="DS128" s="198">
        <f>SUM(DS6:DS126)</f>
        <v>0</v>
      </c>
      <c r="DT128" s="219">
        <f>SUM(DT107:DT122)+SUM(DT126:DT126)</f>
        <v>0</v>
      </c>
      <c r="DY128" s="875" t="str">
        <f>Language!$E$245</f>
        <v>Nummer:</v>
      </c>
      <c r="DZ128" s="876"/>
      <c r="EA128" s="877"/>
      <c r="EB128" s="198">
        <f>SUM(EB124:EB126)</f>
        <v>0</v>
      </c>
      <c r="EC128" s="198">
        <f>SUM(EC6:EC122)</f>
        <v>0</v>
      </c>
      <c r="ED128" s="198">
        <f>SUM(ED6:ED126)</f>
        <v>0</v>
      </c>
      <c r="EE128" s="198">
        <f>SUM(EE6:EE126)</f>
        <v>0</v>
      </c>
      <c r="EF128" s="198">
        <f>SUM(EF6:EF126)</f>
        <v>0</v>
      </c>
      <c r="EG128" s="219">
        <f>SUM(EG107:EG122)+SUM(EG126:EG126)</f>
        <v>0</v>
      </c>
      <c r="EL128" s="875" t="str">
        <f>Language!$E$245</f>
        <v>Nummer:</v>
      </c>
      <c r="EM128" s="876"/>
      <c r="EN128" s="877"/>
      <c r="EO128" s="198">
        <f>SUM(EO124:EO126)</f>
        <v>0</v>
      </c>
      <c r="EP128" s="198">
        <f>SUM(EP6:EP122)</f>
        <v>0</v>
      </c>
      <c r="EQ128" s="198">
        <f>SUM(EQ6:EQ126)</f>
        <v>0</v>
      </c>
      <c r="ER128" s="198">
        <f>SUM(ER6:ER126)</f>
        <v>0</v>
      </c>
      <c r="ES128" s="198">
        <f>SUM(ES6:ES126)</f>
        <v>0</v>
      </c>
      <c r="ET128" s="219">
        <f>SUM(ET107:ET122)+SUM(ET126:ET126)</f>
        <v>0</v>
      </c>
      <c r="EY128" s="875" t="str">
        <f>Language!$E$245</f>
        <v>Nummer:</v>
      </c>
      <c r="EZ128" s="876"/>
      <c r="FA128" s="877"/>
      <c r="FB128" s="198">
        <f>SUM(FB124:FB126)</f>
        <v>0</v>
      </c>
      <c r="FC128" s="198">
        <f>SUM(FC6:FC122)</f>
        <v>0</v>
      </c>
      <c r="FD128" s="198">
        <f>SUM(FD6:FD126)</f>
        <v>0</v>
      </c>
      <c r="FE128" s="198">
        <f>SUM(FE6:FE126)</f>
        <v>0</v>
      </c>
      <c r="FF128" s="198">
        <f>SUM(FF6:FF126)</f>
        <v>0</v>
      </c>
      <c r="FG128" s="219">
        <f>SUM(FG107:FG122)+SUM(FG126:FG126)</f>
        <v>0</v>
      </c>
      <c r="FL128" s="875" t="str">
        <f>Language!$E$245</f>
        <v>Nummer:</v>
      </c>
      <c r="FM128" s="876"/>
      <c r="FN128" s="877"/>
      <c r="FO128" s="198">
        <f>SUM(FO124:FO126)</f>
        <v>0</v>
      </c>
      <c r="FP128" s="198">
        <f>SUM(FP6:FP122)</f>
        <v>0</v>
      </c>
      <c r="FQ128" s="198">
        <f>SUM(FQ6:FQ126)</f>
        <v>0</v>
      </c>
      <c r="FR128" s="198">
        <f>SUM(FR6:FR126)</f>
        <v>0</v>
      </c>
      <c r="FS128" s="198">
        <f>SUM(FS6:FS126)</f>
        <v>0</v>
      </c>
      <c r="FT128" s="219">
        <f>SUM(FT107:FT122)+SUM(FT126:FT126)</f>
        <v>0</v>
      </c>
      <c r="FY128" s="875" t="str">
        <f>Language!$E$245</f>
        <v>Nummer:</v>
      </c>
      <c r="FZ128" s="876"/>
      <c r="GA128" s="877"/>
      <c r="GB128" s="198">
        <f>SUM(GB124:GB126)</f>
        <v>0</v>
      </c>
      <c r="GC128" s="198">
        <f>SUM(GC6:GC122)</f>
        <v>0</v>
      </c>
      <c r="GD128" s="198">
        <f>SUM(GD6:GD126)</f>
        <v>0</v>
      </c>
      <c r="GE128" s="198">
        <f>SUM(GE6:GE126)</f>
        <v>0</v>
      </c>
      <c r="GF128" s="198">
        <f>SUM(GF6:GF126)</f>
        <v>0</v>
      </c>
      <c r="GG128" s="219">
        <f>SUM(GG107:GG122)+SUM(GG126:GG126)</f>
        <v>0</v>
      </c>
      <c r="GL128" s="875" t="str">
        <f>Language!$E$245</f>
        <v>Nummer:</v>
      </c>
      <c r="GM128" s="876"/>
      <c r="GN128" s="877"/>
      <c r="GO128" s="198">
        <f>SUM(GO124:GO126)</f>
        <v>0</v>
      </c>
      <c r="GP128" s="198">
        <f>SUM(GP6:GP122)</f>
        <v>0</v>
      </c>
      <c r="GQ128" s="198">
        <f>SUM(GQ6:GQ126)</f>
        <v>0</v>
      </c>
      <c r="GR128" s="198">
        <f>SUM(GR6:GR126)</f>
        <v>0</v>
      </c>
      <c r="GS128" s="198">
        <f>SUM(GS6:GS126)</f>
        <v>0</v>
      </c>
      <c r="GT128" s="219">
        <f>SUM(GT107:GT122)+SUM(GT126:GT126)</f>
        <v>0</v>
      </c>
      <c r="GY128" s="875" t="str">
        <f>Language!$E$245</f>
        <v>Nummer:</v>
      </c>
      <c r="GZ128" s="876"/>
      <c r="HA128" s="877"/>
      <c r="HB128" s="198">
        <f>SUM(HB124:HB126)</f>
        <v>0</v>
      </c>
      <c r="HC128" s="198">
        <f>SUM(HC6:HC122)</f>
        <v>0</v>
      </c>
      <c r="HD128" s="198">
        <f>SUM(HD6:HD126)</f>
        <v>0</v>
      </c>
      <c r="HE128" s="198">
        <f>SUM(HE6:HE126)</f>
        <v>0</v>
      </c>
      <c r="HF128" s="198">
        <f>SUM(HF6:HF126)</f>
        <v>0</v>
      </c>
      <c r="HG128" s="219">
        <f>SUM(HG107:HG122)+SUM(HG126:HG126)</f>
        <v>0</v>
      </c>
      <c r="HL128" s="875" t="str">
        <f>Language!$E$245</f>
        <v>Nummer:</v>
      </c>
      <c r="HM128" s="876"/>
      <c r="HN128" s="877"/>
      <c r="HO128" s="198">
        <f>SUM(HO124:HO126)</f>
        <v>0</v>
      </c>
      <c r="HP128" s="198">
        <f>SUM(HP6:HP122)</f>
        <v>0</v>
      </c>
      <c r="HQ128" s="198">
        <f>SUM(HQ6:HQ126)</f>
        <v>0</v>
      </c>
      <c r="HR128" s="198">
        <f>SUM(HR6:HR126)</f>
        <v>0</v>
      </c>
      <c r="HS128" s="198">
        <f>SUM(HS6:HS126)</f>
        <v>0</v>
      </c>
      <c r="HT128" s="219">
        <f>SUM(HT107:HT122)+SUM(HT126:HT126)</f>
        <v>0</v>
      </c>
      <c r="HY128" s="875" t="str">
        <f>Language!$E$245</f>
        <v>Nummer:</v>
      </c>
      <c r="HZ128" s="876"/>
      <c r="IA128" s="877"/>
      <c r="IB128" s="198">
        <f>SUM(IB124:IB126)</f>
        <v>0</v>
      </c>
      <c r="IC128" s="198">
        <f>SUM(IC6:IC122)</f>
        <v>0</v>
      </c>
      <c r="ID128" s="198">
        <f>SUM(ID6:ID126)</f>
        <v>0</v>
      </c>
      <c r="IE128" s="198">
        <f>SUM(IE6:IE126)</f>
        <v>0</v>
      </c>
      <c r="IF128" s="198">
        <f>SUM(IF6:IF126)</f>
        <v>0</v>
      </c>
      <c r="IG128" s="219">
        <f>SUM(IG107:IG122)+SUM(IG126:IG126)</f>
        <v>0</v>
      </c>
      <c r="IL128" s="875" t="str">
        <f>Language!$E$245</f>
        <v>Nummer:</v>
      </c>
      <c r="IM128" s="876"/>
      <c r="IN128" s="877"/>
      <c r="IO128" s="198">
        <f>SUM(IO124:IO126)</f>
        <v>0</v>
      </c>
      <c r="IP128" s="198">
        <f>SUM(IP6:IP122)</f>
        <v>0</v>
      </c>
      <c r="IQ128" s="198">
        <f>SUM(IQ6:IQ126)</f>
        <v>0</v>
      </c>
      <c r="IR128" s="198">
        <f>SUM(IR6:IR126)</f>
        <v>0</v>
      </c>
      <c r="IS128" s="198">
        <f>SUM(IS6:IS126)</f>
        <v>0</v>
      </c>
      <c r="IT128" s="219">
        <f>SUM(IT107:IT122)+SUM(IT126:IT126)</f>
        <v>0</v>
      </c>
      <c r="IY128" s="875" t="str">
        <f>Language!$E$245</f>
        <v>Nummer:</v>
      </c>
      <c r="IZ128" s="876"/>
      <c r="JA128" s="877"/>
      <c r="JB128" s="198">
        <f>SUM(JB124:JB126)</f>
        <v>0</v>
      </c>
      <c r="JC128" s="198">
        <f>SUM(JC6:JC122)</f>
        <v>0</v>
      </c>
      <c r="JD128" s="198">
        <f>SUM(JD6:JD126)</f>
        <v>0</v>
      </c>
      <c r="JE128" s="198">
        <f>SUM(JE6:JE126)</f>
        <v>0</v>
      </c>
      <c r="JF128" s="198">
        <f>SUM(JF6:JF126)</f>
        <v>0</v>
      </c>
      <c r="JG128" s="219">
        <f>SUM(JG107:JG122)+SUM(JG126:JG126)</f>
        <v>0</v>
      </c>
      <c r="JL128" s="875" t="str">
        <f>Language!$E$245</f>
        <v>Nummer:</v>
      </c>
      <c r="JM128" s="876"/>
      <c r="JN128" s="877"/>
      <c r="JO128" s="198">
        <f>SUM(JO124:JO126)</f>
        <v>0</v>
      </c>
      <c r="JP128" s="198">
        <f>SUM(JP6:JP122)</f>
        <v>0</v>
      </c>
      <c r="JQ128" s="198">
        <f>SUM(JQ6:JQ126)</f>
        <v>0</v>
      </c>
      <c r="JR128" s="198">
        <f>SUM(JR6:JR126)</f>
        <v>0</v>
      </c>
      <c r="JS128" s="198">
        <f>SUM(JS6:JS126)</f>
        <v>0</v>
      </c>
      <c r="JT128" s="219">
        <f>SUM(JT107:JT122)+SUM(JT126:JT126)</f>
        <v>0</v>
      </c>
      <c r="JY128" s="875" t="str">
        <f>Language!$E$245</f>
        <v>Nummer:</v>
      </c>
      <c r="JZ128" s="876"/>
      <c r="KA128" s="877"/>
      <c r="KB128" s="198">
        <f>SUM(KB124:KB126)</f>
        <v>0</v>
      </c>
      <c r="KC128" s="198">
        <f>SUM(KC6:KC122)</f>
        <v>0</v>
      </c>
      <c r="KD128" s="198">
        <f>SUM(KD6:KD126)</f>
        <v>0</v>
      </c>
      <c r="KE128" s="198">
        <f>SUM(KE6:KE126)</f>
        <v>0</v>
      </c>
      <c r="KF128" s="198">
        <f>SUM(KF6:KF126)</f>
        <v>0</v>
      </c>
      <c r="KG128" s="219">
        <f>SUM(KG107:KG122)+SUM(KG126:KG126)</f>
        <v>0</v>
      </c>
      <c r="KL128" s="875" t="str">
        <f>Language!$E$245</f>
        <v>Nummer:</v>
      </c>
      <c r="KM128" s="876"/>
      <c r="KN128" s="877"/>
      <c r="KO128" s="198">
        <f>SUM(KO124:KO126)</f>
        <v>0</v>
      </c>
      <c r="KP128" s="198">
        <f>SUM(KP6:KP122)</f>
        <v>0</v>
      </c>
      <c r="KQ128" s="198">
        <f>SUM(KQ6:KQ126)</f>
        <v>0</v>
      </c>
      <c r="KR128" s="198">
        <f>SUM(KR6:KR126)</f>
        <v>0</v>
      </c>
      <c r="KS128" s="198">
        <f>SUM(KS6:KS126)</f>
        <v>0</v>
      </c>
      <c r="KT128" s="219">
        <f>SUM(KT107:KT122)+SUM(KT126:KT126)</f>
        <v>0</v>
      </c>
      <c r="KY128" s="875" t="str">
        <f>Language!$E$245</f>
        <v>Nummer:</v>
      </c>
      <c r="KZ128" s="876"/>
      <c r="LA128" s="877"/>
      <c r="LB128" s="198">
        <f>SUM(LB124:LB126)</f>
        <v>0</v>
      </c>
      <c r="LC128" s="198">
        <f>SUM(LC6:LC122)</f>
        <v>0</v>
      </c>
      <c r="LD128" s="198">
        <f>SUM(LD6:LD126)</f>
        <v>0</v>
      </c>
      <c r="LE128" s="198">
        <f>SUM(LE6:LE126)</f>
        <v>0</v>
      </c>
      <c r="LF128" s="198">
        <f>SUM(LF6:LF126)</f>
        <v>0</v>
      </c>
      <c r="LG128" s="219">
        <f>SUM(LG107:LG122)+SUM(LG126:LG126)</f>
        <v>0</v>
      </c>
      <c r="LL128" s="875" t="str">
        <f>Language!$E$245</f>
        <v>Nummer:</v>
      </c>
      <c r="LM128" s="876"/>
      <c r="LN128" s="877"/>
      <c r="LO128" s="198">
        <f>SUM(LO124:LO126)</f>
        <v>0</v>
      </c>
      <c r="LP128" s="198">
        <f>SUM(LP6:LP122)</f>
        <v>0</v>
      </c>
      <c r="LQ128" s="198">
        <f>SUM(LQ6:LQ126)</f>
        <v>0</v>
      </c>
      <c r="LR128" s="198">
        <f>SUM(LR6:LR126)</f>
        <v>0</v>
      </c>
      <c r="LS128" s="198">
        <f>SUM(LS6:LS126)</f>
        <v>0</v>
      </c>
      <c r="LT128" s="219">
        <f>SUM(LT107:LT122)+SUM(LT126:LT126)</f>
        <v>0</v>
      </c>
      <c r="LY128" s="875" t="str">
        <f>Language!$E$245</f>
        <v>Nummer:</v>
      </c>
      <c r="LZ128" s="876"/>
      <c r="MA128" s="877"/>
      <c r="MB128" s="198">
        <f>SUM(MB124:MB126)</f>
        <v>0</v>
      </c>
      <c r="MC128" s="198">
        <f>SUM(MC6:MC122)</f>
        <v>0</v>
      </c>
      <c r="MD128" s="198">
        <f>SUM(MD6:MD126)</f>
        <v>0</v>
      </c>
      <c r="ME128" s="198">
        <f>SUM(ME6:ME126)</f>
        <v>0</v>
      </c>
      <c r="MF128" s="198">
        <f>SUM(MF6:MF126)</f>
        <v>0</v>
      </c>
      <c r="MG128" s="219">
        <f>SUM(MG107:MG122)+SUM(MG126:MG126)</f>
        <v>0</v>
      </c>
    </row>
    <row r="129" spans="2:345" ht="16" thickBot="1">
      <c r="L129" s="881" t="str">
        <f>Language!$E$207</f>
        <v>Punten:</v>
      </c>
      <c r="M129" s="882"/>
      <c r="N129" s="883"/>
      <c r="O129" s="512">
        <f>O128*PrSettings!$F$9</f>
        <v>0</v>
      </c>
      <c r="P129" s="512">
        <f>P128*PrSettings!$F$4</f>
        <v>0</v>
      </c>
      <c r="Q129" s="512">
        <f>Q128*PrSettings!$F$5</f>
        <v>0</v>
      </c>
      <c r="R129" s="512">
        <f>R128*PrSettings!$F$6</f>
        <v>0</v>
      </c>
      <c r="S129" s="512">
        <f>S128*PrSettings!$F$7</f>
        <v>0</v>
      </c>
      <c r="T129" s="513">
        <f>T128*PrSettings!$F$8</f>
        <v>0</v>
      </c>
      <c r="Y129" s="869" t="str">
        <f>Language!$E$207</f>
        <v>Punten:</v>
      </c>
      <c r="Z129" s="870"/>
      <c r="AA129" s="871"/>
      <c r="AB129" s="225">
        <f>AB128*PrSettings!$F$9</f>
        <v>0</v>
      </c>
      <c r="AC129" s="225">
        <f>AC128*PrSettings!$F$4</f>
        <v>0</v>
      </c>
      <c r="AD129" s="225">
        <f>AD128*PrSettings!$F$5</f>
        <v>0</v>
      </c>
      <c r="AE129" s="225">
        <f>AE128*PrSettings!$F$6</f>
        <v>0</v>
      </c>
      <c r="AF129" s="225">
        <f>AF128*PrSettings!$F$7</f>
        <v>0</v>
      </c>
      <c r="AG129" s="226">
        <f>AG128*PrSettings!$F$8</f>
        <v>0</v>
      </c>
      <c r="AL129" s="869" t="str">
        <f>Language!$E$207</f>
        <v>Punten:</v>
      </c>
      <c r="AM129" s="870"/>
      <c r="AN129" s="871"/>
      <c r="AO129" s="225">
        <f>AO128*PrSettings!$F$9</f>
        <v>0</v>
      </c>
      <c r="AP129" s="225">
        <f>AP128*PrSettings!$F$4</f>
        <v>0</v>
      </c>
      <c r="AQ129" s="225">
        <f>AQ128*PrSettings!$F$5</f>
        <v>0</v>
      </c>
      <c r="AR129" s="225">
        <f>AR128*PrSettings!$F$6</f>
        <v>0</v>
      </c>
      <c r="AS129" s="225">
        <f>AS128*PrSettings!$F$7</f>
        <v>0</v>
      </c>
      <c r="AT129" s="226">
        <f>AT128*PrSettings!$F$8</f>
        <v>0</v>
      </c>
      <c r="AY129" s="869" t="str">
        <f>Language!$E$207</f>
        <v>Punten:</v>
      </c>
      <c r="AZ129" s="870"/>
      <c r="BA129" s="871"/>
      <c r="BB129" s="225">
        <f>BB128*PrSettings!$F$9</f>
        <v>0</v>
      </c>
      <c r="BC129" s="225">
        <f>BC128*PrSettings!$F$4</f>
        <v>0</v>
      </c>
      <c r="BD129" s="225">
        <f>BD128*PrSettings!$F$5</f>
        <v>0</v>
      </c>
      <c r="BE129" s="225">
        <f>BE128*PrSettings!$F$6</f>
        <v>0</v>
      </c>
      <c r="BF129" s="225">
        <f>BF128*PrSettings!$F$7</f>
        <v>0</v>
      </c>
      <c r="BG129" s="226">
        <f>BG128*PrSettings!$F$8</f>
        <v>0</v>
      </c>
      <c r="BL129" s="869" t="str">
        <f>Language!$E$207</f>
        <v>Punten:</v>
      </c>
      <c r="BM129" s="870"/>
      <c r="BN129" s="871"/>
      <c r="BO129" s="225">
        <f>BO128*PrSettings!$F$9</f>
        <v>0</v>
      </c>
      <c r="BP129" s="225">
        <f>BP128*PrSettings!$F$4</f>
        <v>0</v>
      </c>
      <c r="BQ129" s="225">
        <f>BQ128*PrSettings!$F$5</f>
        <v>0</v>
      </c>
      <c r="BR129" s="225">
        <f>BR128*PrSettings!$F$6</f>
        <v>0</v>
      </c>
      <c r="BS129" s="225">
        <f>BS128*PrSettings!$F$7</f>
        <v>0</v>
      </c>
      <c r="BT129" s="226">
        <f>BT128*PrSettings!$F$8</f>
        <v>0</v>
      </c>
      <c r="BY129" s="869" t="str">
        <f>Language!$E$207</f>
        <v>Punten:</v>
      </c>
      <c r="BZ129" s="870"/>
      <c r="CA129" s="871"/>
      <c r="CB129" s="225">
        <f>CB128*PrSettings!$F$9</f>
        <v>0</v>
      </c>
      <c r="CC129" s="225">
        <f>CC128*PrSettings!$F$4</f>
        <v>0</v>
      </c>
      <c r="CD129" s="225">
        <f>CD128*PrSettings!$F$5</f>
        <v>0</v>
      </c>
      <c r="CE129" s="225">
        <f>CE128*PrSettings!$F$6</f>
        <v>0</v>
      </c>
      <c r="CF129" s="225">
        <f>CF128*PrSettings!$F$7</f>
        <v>0</v>
      </c>
      <c r="CG129" s="226">
        <f>CG128*PrSettings!$F$8</f>
        <v>0</v>
      </c>
      <c r="CL129" s="869" t="str">
        <f>Language!$E$207</f>
        <v>Punten:</v>
      </c>
      <c r="CM129" s="870"/>
      <c r="CN129" s="871"/>
      <c r="CO129" s="225">
        <f>CO128*PrSettings!$F$9</f>
        <v>0</v>
      </c>
      <c r="CP129" s="225">
        <f>CP128*PrSettings!$F$4</f>
        <v>0</v>
      </c>
      <c r="CQ129" s="225">
        <f>CQ128*PrSettings!$F$5</f>
        <v>0</v>
      </c>
      <c r="CR129" s="225">
        <f>CR128*PrSettings!$F$6</f>
        <v>0</v>
      </c>
      <c r="CS129" s="225">
        <f>CS128*PrSettings!$F$7</f>
        <v>0</v>
      </c>
      <c r="CT129" s="226">
        <f>CT128*PrSettings!$F$8</f>
        <v>0</v>
      </c>
      <c r="CY129" s="869" t="str">
        <f>Language!$E$207</f>
        <v>Punten:</v>
      </c>
      <c r="CZ129" s="870"/>
      <c r="DA129" s="871"/>
      <c r="DB129" s="225">
        <f>DB128*PrSettings!$F$9</f>
        <v>0</v>
      </c>
      <c r="DC129" s="225">
        <f>DC128*PrSettings!$F$4</f>
        <v>0</v>
      </c>
      <c r="DD129" s="225">
        <f>DD128*PrSettings!$F$5</f>
        <v>0</v>
      </c>
      <c r="DE129" s="225">
        <f>DE128*PrSettings!$F$6</f>
        <v>0</v>
      </c>
      <c r="DF129" s="225">
        <f>DF128*PrSettings!$F$7</f>
        <v>0</v>
      </c>
      <c r="DG129" s="226">
        <f>DG128*PrSettings!$F$8</f>
        <v>0</v>
      </c>
      <c r="DL129" s="869" t="str">
        <f>Language!$E$207</f>
        <v>Punten:</v>
      </c>
      <c r="DM129" s="870"/>
      <c r="DN129" s="871"/>
      <c r="DO129" s="225">
        <f>DO128*PrSettings!$F$9</f>
        <v>0</v>
      </c>
      <c r="DP129" s="225">
        <f>DP128*PrSettings!$F$4</f>
        <v>0</v>
      </c>
      <c r="DQ129" s="225">
        <f>DQ128*PrSettings!$F$5</f>
        <v>0</v>
      </c>
      <c r="DR129" s="225">
        <f>DR128*PrSettings!$F$6</f>
        <v>0</v>
      </c>
      <c r="DS129" s="225">
        <f>DS128*PrSettings!$F$7</f>
        <v>0</v>
      </c>
      <c r="DT129" s="226">
        <f>DT128*PrSettings!$F$8</f>
        <v>0</v>
      </c>
      <c r="DY129" s="869" t="str">
        <f>Language!$E$207</f>
        <v>Punten:</v>
      </c>
      <c r="DZ129" s="870"/>
      <c r="EA129" s="871"/>
      <c r="EB129" s="225">
        <f>EB128*PrSettings!$F$9</f>
        <v>0</v>
      </c>
      <c r="EC129" s="225">
        <f>EC128*PrSettings!$F$4</f>
        <v>0</v>
      </c>
      <c r="ED129" s="225">
        <f>ED128*PrSettings!$F$5</f>
        <v>0</v>
      </c>
      <c r="EE129" s="225">
        <f>EE128*PrSettings!$F$6</f>
        <v>0</v>
      </c>
      <c r="EF129" s="225">
        <f>EF128*PrSettings!$F$7</f>
        <v>0</v>
      </c>
      <c r="EG129" s="226">
        <f>EG128*PrSettings!$F$8</f>
        <v>0</v>
      </c>
      <c r="EL129" s="869" t="str">
        <f>Language!$E$207</f>
        <v>Punten:</v>
      </c>
      <c r="EM129" s="870"/>
      <c r="EN129" s="871"/>
      <c r="EO129" s="225">
        <f>EO128*PrSettings!$F$9</f>
        <v>0</v>
      </c>
      <c r="EP129" s="225">
        <f>EP128*PrSettings!$F$4</f>
        <v>0</v>
      </c>
      <c r="EQ129" s="225">
        <f>EQ128*PrSettings!$F$5</f>
        <v>0</v>
      </c>
      <c r="ER129" s="225">
        <f>ER128*PrSettings!$F$6</f>
        <v>0</v>
      </c>
      <c r="ES129" s="225">
        <f>ES128*PrSettings!$F$7</f>
        <v>0</v>
      </c>
      <c r="ET129" s="226">
        <f>ET128*PrSettings!$F$8</f>
        <v>0</v>
      </c>
      <c r="EY129" s="869" t="str">
        <f>Language!$E$207</f>
        <v>Punten:</v>
      </c>
      <c r="EZ129" s="870"/>
      <c r="FA129" s="871"/>
      <c r="FB129" s="225">
        <f>FB128*PrSettings!$F$9</f>
        <v>0</v>
      </c>
      <c r="FC129" s="225">
        <f>FC128*PrSettings!$F$4</f>
        <v>0</v>
      </c>
      <c r="FD129" s="225">
        <f>FD128*PrSettings!$F$5</f>
        <v>0</v>
      </c>
      <c r="FE129" s="225">
        <f>FE128*PrSettings!$F$6</f>
        <v>0</v>
      </c>
      <c r="FF129" s="225">
        <f>FF128*PrSettings!$F$7</f>
        <v>0</v>
      </c>
      <c r="FG129" s="226">
        <f>FG128*PrSettings!$F$8</f>
        <v>0</v>
      </c>
      <c r="FL129" s="869" t="str">
        <f>Language!$E$207</f>
        <v>Punten:</v>
      </c>
      <c r="FM129" s="870"/>
      <c r="FN129" s="871"/>
      <c r="FO129" s="225">
        <f>FO128*PrSettings!$F$9</f>
        <v>0</v>
      </c>
      <c r="FP129" s="225">
        <f>FP128*PrSettings!$F$4</f>
        <v>0</v>
      </c>
      <c r="FQ129" s="225">
        <f>FQ128*PrSettings!$F$5</f>
        <v>0</v>
      </c>
      <c r="FR129" s="225">
        <f>FR128*PrSettings!$F$6</f>
        <v>0</v>
      </c>
      <c r="FS129" s="225">
        <f>FS128*PrSettings!$F$7</f>
        <v>0</v>
      </c>
      <c r="FT129" s="226">
        <f>FT128*PrSettings!$F$8</f>
        <v>0</v>
      </c>
      <c r="FY129" s="869" t="str">
        <f>Language!$E$207</f>
        <v>Punten:</v>
      </c>
      <c r="FZ129" s="870"/>
      <c r="GA129" s="871"/>
      <c r="GB129" s="225">
        <f>GB128*PrSettings!$F$9</f>
        <v>0</v>
      </c>
      <c r="GC129" s="225">
        <f>GC128*PrSettings!$F$4</f>
        <v>0</v>
      </c>
      <c r="GD129" s="225">
        <f>GD128*PrSettings!$F$5</f>
        <v>0</v>
      </c>
      <c r="GE129" s="225">
        <f>GE128*PrSettings!$F$6</f>
        <v>0</v>
      </c>
      <c r="GF129" s="225">
        <f>GF128*PrSettings!$F$7</f>
        <v>0</v>
      </c>
      <c r="GG129" s="226">
        <f>GG128*PrSettings!$F$8</f>
        <v>0</v>
      </c>
      <c r="GL129" s="869" t="str">
        <f>Language!$E$207</f>
        <v>Punten:</v>
      </c>
      <c r="GM129" s="870"/>
      <c r="GN129" s="871"/>
      <c r="GO129" s="225">
        <f>GO128*PrSettings!$F$9</f>
        <v>0</v>
      </c>
      <c r="GP129" s="225">
        <f>GP128*PrSettings!$F$4</f>
        <v>0</v>
      </c>
      <c r="GQ129" s="225">
        <f>GQ128*PrSettings!$F$5</f>
        <v>0</v>
      </c>
      <c r="GR129" s="225">
        <f>GR128*PrSettings!$F$6</f>
        <v>0</v>
      </c>
      <c r="GS129" s="225">
        <f>GS128*PrSettings!$F$7</f>
        <v>0</v>
      </c>
      <c r="GT129" s="226">
        <f>GT128*PrSettings!$F$8</f>
        <v>0</v>
      </c>
      <c r="GY129" s="869" t="str">
        <f>Language!$E$207</f>
        <v>Punten:</v>
      </c>
      <c r="GZ129" s="870"/>
      <c r="HA129" s="871"/>
      <c r="HB129" s="225">
        <f>HB128*PrSettings!$F$9</f>
        <v>0</v>
      </c>
      <c r="HC129" s="225">
        <f>HC128*PrSettings!$F$4</f>
        <v>0</v>
      </c>
      <c r="HD129" s="225">
        <f>HD128*PrSettings!$F$5</f>
        <v>0</v>
      </c>
      <c r="HE129" s="225">
        <f>HE128*PrSettings!$F$6</f>
        <v>0</v>
      </c>
      <c r="HF129" s="225">
        <f>HF128*PrSettings!$F$7</f>
        <v>0</v>
      </c>
      <c r="HG129" s="226">
        <f>HG128*PrSettings!$F$8</f>
        <v>0</v>
      </c>
      <c r="HL129" s="869" t="str">
        <f>Language!$E$207</f>
        <v>Punten:</v>
      </c>
      <c r="HM129" s="870"/>
      <c r="HN129" s="871"/>
      <c r="HO129" s="225">
        <f>HO128*PrSettings!$F$9</f>
        <v>0</v>
      </c>
      <c r="HP129" s="225">
        <f>HP128*PrSettings!$F$4</f>
        <v>0</v>
      </c>
      <c r="HQ129" s="225">
        <f>HQ128*PrSettings!$F$5</f>
        <v>0</v>
      </c>
      <c r="HR129" s="225">
        <f>HR128*PrSettings!$F$6</f>
        <v>0</v>
      </c>
      <c r="HS129" s="225">
        <f>HS128*PrSettings!$F$7</f>
        <v>0</v>
      </c>
      <c r="HT129" s="226">
        <f>HT128*PrSettings!$F$8</f>
        <v>0</v>
      </c>
      <c r="HY129" s="869" t="str">
        <f>Language!$E$207</f>
        <v>Punten:</v>
      </c>
      <c r="HZ129" s="870"/>
      <c r="IA129" s="871"/>
      <c r="IB129" s="225">
        <f>IB128*PrSettings!$F$9</f>
        <v>0</v>
      </c>
      <c r="IC129" s="225">
        <f>IC128*PrSettings!$F$4</f>
        <v>0</v>
      </c>
      <c r="ID129" s="225">
        <f>ID128*PrSettings!$F$5</f>
        <v>0</v>
      </c>
      <c r="IE129" s="225">
        <f>IE128*PrSettings!$F$6</f>
        <v>0</v>
      </c>
      <c r="IF129" s="225">
        <f>IF128*PrSettings!$F$7</f>
        <v>0</v>
      </c>
      <c r="IG129" s="226">
        <f>IG128*PrSettings!$F$8</f>
        <v>0</v>
      </c>
      <c r="IL129" s="869" t="str">
        <f>Language!$E$207</f>
        <v>Punten:</v>
      </c>
      <c r="IM129" s="870"/>
      <c r="IN129" s="871"/>
      <c r="IO129" s="225">
        <f>IO128*PrSettings!$F$9</f>
        <v>0</v>
      </c>
      <c r="IP129" s="225">
        <f>IP128*PrSettings!$F$4</f>
        <v>0</v>
      </c>
      <c r="IQ129" s="225">
        <f>IQ128*PrSettings!$F$5</f>
        <v>0</v>
      </c>
      <c r="IR129" s="225">
        <f>IR128*PrSettings!$F$6</f>
        <v>0</v>
      </c>
      <c r="IS129" s="225">
        <f>IS128*PrSettings!$F$7</f>
        <v>0</v>
      </c>
      <c r="IT129" s="226">
        <f>IT128*PrSettings!$F$8</f>
        <v>0</v>
      </c>
      <c r="IY129" s="869" t="str">
        <f>Language!$E$207</f>
        <v>Punten:</v>
      </c>
      <c r="IZ129" s="870"/>
      <c r="JA129" s="871"/>
      <c r="JB129" s="225">
        <f>JB128*PrSettings!$F$9</f>
        <v>0</v>
      </c>
      <c r="JC129" s="225">
        <f>JC128*PrSettings!$F$4</f>
        <v>0</v>
      </c>
      <c r="JD129" s="225">
        <f>JD128*PrSettings!$F$5</f>
        <v>0</v>
      </c>
      <c r="JE129" s="225">
        <f>JE128*PrSettings!$F$6</f>
        <v>0</v>
      </c>
      <c r="JF129" s="225">
        <f>JF128*PrSettings!$F$7</f>
        <v>0</v>
      </c>
      <c r="JG129" s="226">
        <f>JG128*PrSettings!$F$8</f>
        <v>0</v>
      </c>
      <c r="JL129" s="869" t="str">
        <f>Language!$E$207</f>
        <v>Punten:</v>
      </c>
      <c r="JM129" s="870"/>
      <c r="JN129" s="871"/>
      <c r="JO129" s="225">
        <f>JO128*PrSettings!$F$9</f>
        <v>0</v>
      </c>
      <c r="JP129" s="225">
        <f>JP128*PrSettings!$F$4</f>
        <v>0</v>
      </c>
      <c r="JQ129" s="225">
        <f>JQ128*PrSettings!$F$5</f>
        <v>0</v>
      </c>
      <c r="JR129" s="225">
        <f>JR128*PrSettings!$F$6</f>
        <v>0</v>
      </c>
      <c r="JS129" s="225">
        <f>JS128*PrSettings!$F$7</f>
        <v>0</v>
      </c>
      <c r="JT129" s="226">
        <f>JT128*PrSettings!$F$8</f>
        <v>0</v>
      </c>
      <c r="JY129" s="869" t="str">
        <f>Language!$E$207</f>
        <v>Punten:</v>
      </c>
      <c r="JZ129" s="870"/>
      <c r="KA129" s="871"/>
      <c r="KB129" s="225">
        <f>KB128*PrSettings!$F$9</f>
        <v>0</v>
      </c>
      <c r="KC129" s="225">
        <f>KC128*PrSettings!$F$4</f>
        <v>0</v>
      </c>
      <c r="KD129" s="225">
        <f>KD128*PrSettings!$F$5</f>
        <v>0</v>
      </c>
      <c r="KE129" s="225">
        <f>KE128*PrSettings!$F$6</f>
        <v>0</v>
      </c>
      <c r="KF129" s="225">
        <f>KF128*PrSettings!$F$7</f>
        <v>0</v>
      </c>
      <c r="KG129" s="226">
        <f>KG128*PrSettings!$F$8</f>
        <v>0</v>
      </c>
      <c r="KL129" s="869" t="str">
        <f>Language!$E$207</f>
        <v>Punten:</v>
      </c>
      <c r="KM129" s="870"/>
      <c r="KN129" s="871"/>
      <c r="KO129" s="225">
        <f>KO128*PrSettings!$F$9</f>
        <v>0</v>
      </c>
      <c r="KP129" s="225">
        <f>KP128*PrSettings!$F$4</f>
        <v>0</v>
      </c>
      <c r="KQ129" s="225">
        <f>KQ128*PrSettings!$F$5</f>
        <v>0</v>
      </c>
      <c r="KR129" s="225">
        <f>KR128*PrSettings!$F$6</f>
        <v>0</v>
      </c>
      <c r="KS129" s="225">
        <f>KS128*PrSettings!$F$7</f>
        <v>0</v>
      </c>
      <c r="KT129" s="226">
        <f>KT128*PrSettings!$F$8</f>
        <v>0</v>
      </c>
      <c r="KY129" s="869" t="str">
        <f>Language!$E$207</f>
        <v>Punten:</v>
      </c>
      <c r="KZ129" s="870"/>
      <c r="LA129" s="871"/>
      <c r="LB129" s="225">
        <f>LB128*PrSettings!$F$9</f>
        <v>0</v>
      </c>
      <c r="LC129" s="225">
        <f>LC128*PrSettings!$F$4</f>
        <v>0</v>
      </c>
      <c r="LD129" s="225">
        <f>LD128*PrSettings!$F$5</f>
        <v>0</v>
      </c>
      <c r="LE129" s="225">
        <f>LE128*PrSettings!$F$6</f>
        <v>0</v>
      </c>
      <c r="LF129" s="225">
        <f>LF128*PrSettings!$F$7</f>
        <v>0</v>
      </c>
      <c r="LG129" s="226">
        <f>LG128*PrSettings!$F$8</f>
        <v>0</v>
      </c>
      <c r="LL129" s="869" t="str">
        <f>Language!$E$207</f>
        <v>Punten:</v>
      </c>
      <c r="LM129" s="870"/>
      <c r="LN129" s="871"/>
      <c r="LO129" s="225">
        <f>LO128*PrSettings!$F$9</f>
        <v>0</v>
      </c>
      <c r="LP129" s="225">
        <f>LP128*PrSettings!$F$4</f>
        <v>0</v>
      </c>
      <c r="LQ129" s="225">
        <f>LQ128*PrSettings!$F$5</f>
        <v>0</v>
      </c>
      <c r="LR129" s="225">
        <f>LR128*PrSettings!$F$6</f>
        <v>0</v>
      </c>
      <c r="LS129" s="225">
        <f>LS128*PrSettings!$F$7</f>
        <v>0</v>
      </c>
      <c r="LT129" s="226">
        <f>LT128*PrSettings!$F$8</f>
        <v>0</v>
      </c>
      <c r="LY129" s="869" t="str">
        <f>Language!$E$207</f>
        <v>Punten:</v>
      </c>
      <c r="LZ129" s="870"/>
      <c r="MA129" s="871"/>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c r="L130" s="872" t="str">
        <f>Language!$E$208</f>
        <v>Totaal:</v>
      </c>
      <c r="M130" s="873"/>
      <c r="N130" s="874"/>
      <c r="O130" s="866">
        <f>SUM(O129:T129)</f>
        <v>0</v>
      </c>
      <c r="P130" s="867"/>
      <c r="Q130" s="867"/>
      <c r="R130" s="867"/>
      <c r="S130" s="867"/>
      <c r="T130" s="868"/>
      <c r="Y130" s="872" t="str">
        <f>Language!$E$208</f>
        <v>Totaal:</v>
      </c>
      <c r="Z130" s="873"/>
      <c r="AA130" s="874"/>
      <c r="AB130" s="866">
        <f>SUM(AB129:AG129)</f>
        <v>0</v>
      </c>
      <c r="AC130" s="867"/>
      <c r="AD130" s="867"/>
      <c r="AE130" s="867"/>
      <c r="AF130" s="867"/>
      <c r="AG130" s="868"/>
      <c r="AL130" s="872" t="str">
        <f>Language!$E$208</f>
        <v>Totaal:</v>
      </c>
      <c r="AM130" s="873"/>
      <c r="AN130" s="874"/>
      <c r="AO130" s="866">
        <f>SUM(AO129:AT129)</f>
        <v>0</v>
      </c>
      <c r="AP130" s="867"/>
      <c r="AQ130" s="867"/>
      <c r="AR130" s="867"/>
      <c r="AS130" s="867"/>
      <c r="AT130" s="868"/>
      <c r="AY130" s="872" t="str">
        <f>Language!$E$208</f>
        <v>Totaal:</v>
      </c>
      <c r="AZ130" s="873"/>
      <c r="BA130" s="874"/>
      <c r="BB130" s="866">
        <f>SUM(BB129:BG129)</f>
        <v>0</v>
      </c>
      <c r="BC130" s="867"/>
      <c r="BD130" s="867"/>
      <c r="BE130" s="867"/>
      <c r="BF130" s="867"/>
      <c r="BG130" s="868"/>
      <c r="BL130" s="872" t="str">
        <f>Language!$E$208</f>
        <v>Totaal:</v>
      </c>
      <c r="BM130" s="873"/>
      <c r="BN130" s="874"/>
      <c r="BO130" s="866">
        <f>SUM(BO129:BT129)</f>
        <v>0</v>
      </c>
      <c r="BP130" s="867"/>
      <c r="BQ130" s="867"/>
      <c r="BR130" s="867"/>
      <c r="BS130" s="867"/>
      <c r="BT130" s="868"/>
      <c r="BY130" s="872" t="str">
        <f>Language!$E$208</f>
        <v>Totaal:</v>
      </c>
      <c r="BZ130" s="873"/>
      <c r="CA130" s="874"/>
      <c r="CB130" s="866">
        <f>SUM(CB129:CG129)</f>
        <v>0</v>
      </c>
      <c r="CC130" s="867"/>
      <c r="CD130" s="867"/>
      <c r="CE130" s="867"/>
      <c r="CF130" s="867"/>
      <c r="CG130" s="868"/>
      <c r="CL130" s="872" t="str">
        <f>Language!$E$208</f>
        <v>Totaal:</v>
      </c>
      <c r="CM130" s="873"/>
      <c r="CN130" s="874"/>
      <c r="CO130" s="866">
        <f>SUM(CO129:CT129)</f>
        <v>0</v>
      </c>
      <c r="CP130" s="867"/>
      <c r="CQ130" s="867"/>
      <c r="CR130" s="867"/>
      <c r="CS130" s="867"/>
      <c r="CT130" s="868"/>
      <c r="CY130" s="872" t="str">
        <f>Language!$E$208</f>
        <v>Totaal:</v>
      </c>
      <c r="CZ130" s="873"/>
      <c r="DA130" s="874"/>
      <c r="DB130" s="866">
        <f>SUM(DB129:DG129)</f>
        <v>0</v>
      </c>
      <c r="DC130" s="867"/>
      <c r="DD130" s="867"/>
      <c r="DE130" s="867"/>
      <c r="DF130" s="867"/>
      <c r="DG130" s="868"/>
      <c r="DL130" s="872" t="str">
        <f>Language!$E$208</f>
        <v>Totaal:</v>
      </c>
      <c r="DM130" s="873"/>
      <c r="DN130" s="874"/>
      <c r="DO130" s="866">
        <f>SUM(DO129:DT129)</f>
        <v>0</v>
      </c>
      <c r="DP130" s="867"/>
      <c r="DQ130" s="867"/>
      <c r="DR130" s="867"/>
      <c r="DS130" s="867"/>
      <c r="DT130" s="868"/>
      <c r="DY130" s="872" t="str">
        <f>Language!$E$208</f>
        <v>Totaal:</v>
      </c>
      <c r="DZ130" s="873"/>
      <c r="EA130" s="874"/>
      <c r="EB130" s="866">
        <f>SUM(EB129:EG129)</f>
        <v>0</v>
      </c>
      <c r="EC130" s="867"/>
      <c r="ED130" s="867"/>
      <c r="EE130" s="867"/>
      <c r="EF130" s="867"/>
      <c r="EG130" s="868"/>
      <c r="EL130" s="872" t="str">
        <f>Language!$E$208</f>
        <v>Totaal:</v>
      </c>
      <c r="EM130" s="873"/>
      <c r="EN130" s="874"/>
      <c r="EO130" s="866">
        <f>SUM(EO129:ET129)</f>
        <v>0</v>
      </c>
      <c r="EP130" s="867"/>
      <c r="EQ130" s="867"/>
      <c r="ER130" s="867"/>
      <c r="ES130" s="867"/>
      <c r="ET130" s="868"/>
      <c r="EY130" s="872" t="str">
        <f>Language!$E$208</f>
        <v>Totaal:</v>
      </c>
      <c r="EZ130" s="873"/>
      <c r="FA130" s="874"/>
      <c r="FB130" s="866">
        <f>SUM(FB129:FG129)</f>
        <v>0</v>
      </c>
      <c r="FC130" s="867"/>
      <c r="FD130" s="867"/>
      <c r="FE130" s="867"/>
      <c r="FF130" s="867"/>
      <c r="FG130" s="868"/>
      <c r="FL130" s="872" t="str">
        <f>Language!$E$208</f>
        <v>Totaal:</v>
      </c>
      <c r="FM130" s="873"/>
      <c r="FN130" s="874"/>
      <c r="FO130" s="866">
        <f>SUM(FO129:FT129)</f>
        <v>0</v>
      </c>
      <c r="FP130" s="867"/>
      <c r="FQ130" s="867"/>
      <c r="FR130" s="867"/>
      <c r="FS130" s="867"/>
      <c r="FT130" s="868"/>
      <c r="FY130" s="872" t="str">
        <f>Language!$E$208</f>
        <v>Totaal:</v>
      </c>
      <c r="FZ130" s="873"/>
      <c r="GA130" s="874"/>
      <c r="GB130" s="866">
        <f>SUM(GB129:GG129)</f>
        <v>0</v>
      </c>
      <c r="GC130" s="867"/>
      <c r="GD130" s="867"/>
      <c r="GE130" s="867"/>
      <c r="GF130" s="867"/>
      <c r="GG130" s="868"/>
      <c r="GL130" s="872" t="str">
        <f>Language!$E$208</f>
        <v>Totaal:</v>
      </c>
      <c r="GM130" s="873"/>
      <c r="GN130" s="874"/>
      <c r="GO130" s="866">
        <f>SUM(GO129:GT129)</f>
        <v>0</v>
      </c>
      <c r="GP130" s="867"/>
      <c r="GQ130" s="867"/>
      <c r="GR130" s="867"/>
      <c r="GS130" s="867"/>
      <c r="GT130" s="868"/>
      <c r="GY130" s="872" t="str">
        <f>Language!$E$208</f>
        <v>Totaal:</v>
      </c>
      <c r="GZ130" s="873"/>
      <c r="HA130" s="874"/>
      <c r="HB130" s="866">
        <f>SUM(HB129:HG129)</f>
        <v>0</v>
      </c>
      <c r="HC130" s="867"/>
      <c r="HD130" s="867"/>
      <c r="HE130" s="867"/>
      <c r="HF130" s="867"/>
      <c r="HG130" s="868"/>
      <c r="HL130" s="872" t="str">
        <f>Language!$E$208</f>
        <v>Totaal:</v>
      </c>
      <c r="HM130" s="873"/>
      <c r="HN130" s="874"/>
      <c r="HO130" s="866">
        <f>SUM(HO129:HT129)</f>
        <v>0</v>
      </c>
      <c r="HP130" s="867"/>
      <c r="HQ130" s="867"/>
      <c r="HR130" s="867"/>
      <c r="HS130" s="867"/>
      <c r="HT130" s="868"/>
      <c r="HY130" s="872" t="str">
        <f>Language!$E$208</f>
        <v>Totaal:</v>
      </c>
      <c r="HZ130" s="873"/>
      <c r="IA130" s="874"/>
      <c r="IB130" s="866">
        <f>SUM(IB129:IG129)</f>
        <v>0</v>
      </c>
      <c r="IC130" s="867"/>
      <c r="ID130" s="867"/>
      <c r="IE130" s="867"/>
      <c r="IF130" s="867"/>
      <c r="IG130" s="868"/>
      <c r="IL130" s="872" t="str">
        <f>Language!$E$208</f>
        <v>Totaal:</v>
      </c>
      <c r="IM130" s="873"/>
      <c r="IN130" s="874"/>
      <c r="IO130" s="866">
        <f>SUM(IO129:IT129)</f>
        <v>0</v>
      </c>
      <c r="IP130" s="867"/>
      <c r="IQ130" s="867"/>
      <c r="IR130" s="867"/>
      <c r="IS130" s="867"/>
      <c r="IT130" s="868"/>
      <c r="IY130" s="872" t="str">
        <f>Language!$E$208</f>
        <v>Totaal:</v>
      </c>
      <c r="IZ130" s="873"/>
      <c r="JA130" s="874"/>
      <c r="JB130" s="866">
        <f>SUM(JB129:JG129)</f>
        <v>0</v>
      </c>
      <c r="JC130" s="867"/>
      <c r="JD130" s="867"/>
      <c r="JE130" s="867"/>
      <c r="JF130" s="867"/>
      <c r="JG130" s="868"/>
      <c r="JL130" s="872" t="str">
        <f>Language!$E$208</f>
        <v>Totaal:</v>
      </c>
      <c r="JM130" s="873"/>
      <c r="JN130" s="874"/>
      <c r="JO130" s="866">
        <f>SUM(JO129:JT129)</f>
        <v>0</v>
      </c>
      <c r="JP130" s="867"/>
      <c r="JQ130" s="867"/>
      <c r="JR130" s="867"/>
      <c r="JS130" s="867"/>
      <c r="JT130" s="868"/>
      <c r="JY130" s="872" t="str">
        <f>Language!$E$208</f>
        <v>Totaal:</v>
      </c>
      <c r="JZ130" s="873"/>
      <c r="KA130" s="874"/>
      <c r="KB130" s="866">
        <f>SUM(KB129:KG129)</f>
        <v>0</v>
      </c>
      <c r="KC130" s="867"/>
      <c r="KD130" s="867"/>
      <c r="KE130" s="867"/>
      <c r="KF130" s="867"/>
      <c r="KG130" s="868"/>
      <c r="KL130" s="872" t="str">
        <f>Language!$E$208</f>
        <v>Totaal:</v>
      </c>
      <c r="KM130" s="873"/>
      <c r="KN130" s="874"/>
      <c r="KO130" s="866">
        <f>SUM(KO129:KT129)</f>
        <v>0</v>
      </c>
      <c r="KP130" s="867"/>
      <c r="KQ130" s="867"/>
      <c r="KR130" s="867"/>
      <c r="KS130" s="867"/>
      <c r="KT130" s="868"/>
      <c r="KY130" s="872" t="str">
        <f>Language!$E$208</f>
        <v>Totaal:</v>
      </c>
      <c r="KZ130" s="873"/>
      <c r="LA130" s="874"/>
      <c r="LB130" s="866">
        <f>SUM(LB129:LG129)</f>
        <v>0</v>
      </c>
      <c r="LC130" s="867"/>
      <c r="LD130" s="867"/>
      <c r="LE130" s="867"/>
      <c r="LF130" s="867"/>
      <c r="LG130" s="868"/>
      <c r="LL130" s="872" t="str">
        <f>Language!$E$208</f>
        <v>Totaal:</v>
      </c>
      <c r="LM130" s="873"/>
      <c r="LN130" s="874"/>
      <c r="LO130" s="866">
        <f>SUM(LO129:LT129)</f>
        <v>0</v>
      </c>
      <c r="LP130" s="867"/>
      <c r="LQ130" s="867"/>
      <c r="LR130" s="867"/>
      <c r="LS130" s="867"/>
      <c r="LT130" s="868"/>
      <c r="LY130" s="872" t="str">
        <f>Language!$E$208</f>
        <v>Totaal:</v>
      </c>
      <c r="LZ130" s="873"/>
      <c r="MA130" s="874"/>
      <c r="MB130" s="866">
        <f>SUM(MB129:MG129)</f>
        <v>0</v>
      </c>
      <c r="MC130" s="867"/>
      <c r="MD130" s="867"/>
      <c r="ME130" s="867"/>
      <c r="MF130" s="867"/>
      <c r="MG130" s="868"/>
    </row>
    <row r="131" spans="2:345" ht="30.75" customHeight="1" thickTop="1"/>
    <row r="132" spans="2:345" ht="16" thickBot="1">
      <c r="B132" s="862" t="str">
        <f>Language!$E$221</f>
        <v>Opmerking:</v>
      </c>
      <c r="C132" s="862"/>
      <c r="D132" s="862"/>
      <c r="E132" s="862"/>
      <c r="F132" s="862"/>
      <c r="G132" s="862"/>
      <c r="H132" s="862"/>
      <c r="I132" s="169"/>
      <c r="J132" s="169"/>
      <c r="K132" s="344">
        <f>IFERROR(VLOOKUP(I121,$B$121:$F$122,5,0),0)</f>
        <v>0</v>
      </c>
      <c r="L132" s="344">
        <f>IFERROR(VLOOKUP(I121,$D$121:$G$122,4,0),0)</f>
        <v>0</v>
      </c>
      <c r="M132" s="344">
        <f>IFERROR(VLOOKUP(K121,$B$121:$F$122,5,0),0)</f>
        <v>0</v>
      </c>
      <c r="N132" s="344">
        <f>IFERROR(VLOOKUP(K121,$D$121:$G$122,4,0),0)</f>
        <v>0</v>
      </c>
      <c r="O132" s="342">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2">
        <f>IFERROR(VLOOKUP(I107,$B$107:$F$114,5,0),0)</f>
        <v>0</v>
      </c>
      <c r="Q132" s="342">
        <f>IFERROR(VLOOKUP(K107,$B$107:$F$114,5,0),0)</f>
        <v>0</v>
      </c>
      <c r="R132" s="342">
        <f>IFERROR(VLOOKUP(I107,$D$107:$G$114,4,0),0)</f>
        <v>0</v>
      </c>
      <c r="S132" s="342">
        <f>IFERROR(VLOOKUP(K107,$D$107:$G$114,4,0),0)</f>
        <v>0</v>
      </c>
      <c r="T132" s="343"/>
      <c r="V132" s="169"/>
      <c r="W132" s="169"/>
      <c r="X132" s="344">
        <f>IFERROR(VLOOKUP(V121,$B$121:$F$122,5,0),0)</f>
        <v>0</v>
      </c>
      <c r="Y132" s="344">
        <f>IFERROR(VLOOKUP(V121,$D$121:$G$122,4,0),0)</f>
        <v>0</v>
      </c>
      <c r="Z132" s="344">
        <f>IFERROR(VLOOKUP(X121,$B$121:$F$122,5,0),0)</f>
        <v>0</v>
      </c>
      <c r="AA132" s="344">
        <f>IFERROR(VLOOKUP(X121,$D$121:$G$122,4,0),0)</f>
        <v>0</v>
      </c>
      <c r="AB132" s="342">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2">
        <f>IFERROR(VLOOKUP(V107,$B$107:$F$114,5,0),0)</f>
        <v>0</v>
      </c>
      <c r="AD132" s="342">
        <f>IFERROR(VLOOKUP(X107,$B$107:$F$114,5,0),0)</f>
        <v>0</v>
      </c>
      <c r="AE132" s="342">
        <f>IFERROR(VLOOKUP(V107,$D$107:$G$114,4,0),0)</f>
        <v>0</v>
      </c>
      <c r="AF132" s="342">
        <f>IFERROR(VLOOKUP(X107,$D$107:$G$114,4,0),0)</f>
        <v>0</v>
      </c>
      <c r="AG132" s="343"/>
      <c r="AI132" s="169"/>
      <c r="AJ132" s="169"/>
      <c r="AK132" s="344">
        <f>IFERROR(VLOOKUP(AI121,$B$121:$F$122,5,0),0)</f>
        <v>0</v>
      </c>
      <c r="AL132" s="344">
        <f>IFERROR(VLOOKUP(AI121,$D$121:$G$122,4,0),0)</f>
        <v>0</v>
      </c>
      <c r="AM132" s="344">
        <f>IFERROR(VLOOKUP(AK121,$B$121:$F$122,5,0),0)</f>
        <v>0</v>
      </c>
      <c r="AN132" s="344">
        <f>IFERROR(VLOOKUP(AK121,$D$121:$G$122,4,0),0)</f>
        <v>0</v>
      </c>
      <c r="AO132" s="342">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2">
        <f>IFERROR(VLOOKUP(AI107,$B$107:$F$114,5,0),0)</f>
        <v>0</v>
      </c>
      <c r="AQ132" s="342">
        <f>IFERROR(VLOOKUP(AK107,$B$107:$F$114,5,0),0)</f>
        <v>0</v>
      </c>
      <c r="AR132" s="342">
        <f>IFERROR(VLOOKUP(AI107,$D$107:$G$114,4,0),0)</f>
        <v>0</v>
      </c>
      <c r="AS132" s="342">
        <f>IFERROR(VLOOKUP(AK107,$D$107:$G$114,4,0),0)</f>
        <v>0</v>
      </c>
      <c r="AT132" s="343"/>
      <c r="AV132" s="169"/>
      <c r="AW132" s="169"/>
      <c r="AX132" s="344">
        <f>IFERROR(VLOOKUP(AV121,$B$121:$F$122,5,0),0)</f>
        <v>0</v>
      </c>
      <c r="AY132" s="344">
        <f>IFERROR(VLOOKUP(AV121,$D$121:$G$122,4,0),0)</f>
        <v>0</v>
      </c>
      <c r="AZ132" s="344">
        <f>IFERROR(VLOOKUP(AX121,$B$121:$F$122,5,0),0)</f>
        <v>0</v>
      </c>
      <c r="BA132" s="344">
        <f>IFERROR(VLOOKUP(AX121,$D$121:$G$122,4,0),0)</f>
        <v>0</v>
      </c>
      <c r="BB132" s="342">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2">
        <f>IFERROR(VLOOKUP(AV107,$B$107:$F$114,5,0),0)</f>
        <v>0</v>
      </c>
      <c r="BD132" s="342">
        <f>IFERROR(VLOOKUP(AX107,$B$107:$F$114,5,0),0)</f>
        <v>0</v>
      </c>
      <c r="BE132" s="342">
        <f>IFERROR(VLOOKUP(AV107,$D$107:$G$114,4,0),0)</f>
        <v>0</v>
      </c>
      <c r="BF132" s="342">
        <f>IFERROR(VLOOKUP(AX107,$D$107:$G$114,4,0),0)</f>
        <v>0</v>
      </c>
      <c r="BG132" s="343"/>
      <c r="BI132" s="169"/>
      <c r="BJ132" s="169"/>
      <c r="BK132" s="344">
        <f>IFERROR(VLOOKUP(BI121,$B$121:$F$122,5,0),0)</f>
        <v>0</v>
      </c>
      <c r="BL132" s="344">
        <f>IFERROR(VLOOKUP(BI121,$D$121:$G$122,4,0),0)</f>
        <v>0</v>
      </c>
      <c r="BM132" s="344">
        <f>IFERROR(VLOOKUP(BK121,$B$121:$F$122,5,0),0)</f>
        <v>0</v>
      </c>
      <c r="BN132" s="344">
        <f>IFERROR(VLOOKUP(BK121,$D$121:$G$122,4,0),0)</f>
        <v>0</v>
      </c>
      <c r="BO132" s="342">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2">
        <f>IFERROR(VLOOKUP(BI107,$B$107:$F$114,5,0),0)</f>
        <v>0</v>
      </c>
      <c r="BQ132" s="342">
        <f>IFERROR(VLOOKUP(BK107,$B$107:$F$114,5,0),0)</f>
        <v>0</v>
      </c>
      <c r="BR132" s="342">
        <f>IFERROR(VLOOKUP(BI107,$D$107:$G$114,4,0),0)</f>
        <v>0</v>
      </c>
      <c r="BS132" s="342">
        <f>IFERROR(VLOOKUP(BK107,$D$107:$G$114,4,0),0)</f>
        <v>0</v>
      </c>
      <c r="BT132" s="343"/>
      <c r="BV132" s="169"/>
      <c r="BW132" s="169"/>
      <c r="BX132" s="344">
        <f>IFERROR(VLOOKUP(BV121,$B$121:$F$122,5,0),0)</f>
        <v>0</v>
      </c>
      <c r="BY132" s="344">
        <f>IFERROR(VLOOKUP(BV121,$D$121:$G$122,4,0),0)</f>
        <v>0</v>
      </c>
      <c r="BZ132" s="344">
        <f>IFERROR(VLOOKUP(BX121,$B$121:$F$122,5,0),0)</f>
        <v>0</v>
      </c>
      <c r="CA132" s="344">
        <f>IFERROR(VLOOKUP(BX121,$D$121:$G$122,4,0),0)</f>
        <v>0</v>
      </c>
      <c r="CB132" s="342">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2">
        <f>IFERROR(VLOOKUP(BV107,$B$107:$F$114,5,0),0)</f>
        <v>0</v>
      </c>
      <c r="CD132" s="342">
        <f>IFERROR(VLOOKUP(BX107,$B$107:$F$114,5,0),0)</f>
        <v>0</v>
      </c>
      <c r="CE132" s="342">
        <f>IFERROR(VLOOKUP(BV107,$D$107:$G$114,4,0),0)</f>
        <v>0</v>
      </c>
      <c r="CF132" s="342">
        <f>IFERROR(VLOOKUP(BX107,$D$107:$G$114,4,0),0)</f>
        <v>0</v>
      </c>
      <c r="CG132" s="343"/>
      <c r="CI132" s="169"/>
      <c r="CJ132" s="169"/>
      <c r="CK132" s="344">
        <f>IFERROR(VLOOKUP(CI121,$B$121:$F$122,5,0),0)</f>
        <v>0</v>
      </c>
      <c r="CL132" s="344">
        <f>IFERROR(VLOOKUP(CI121,$D$121:$G$122,4,0),0)</f>
        <v>0</v>
      </c>
      <c r="CM132" s="344">
        <f>IFERROR(VLOOKUP(CK121,$B$121:$F$122,5,0),0)</f>
        <v>0</v>
      </c>
      <c r="CN132" s="344">
        <f>IFERROR(VLOOKUP(CK121,$D$121:$G$122,4,0),0)</f>
        <v>0</v>
      </c>
      <c r="CO132" s="342">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2">
        <f>IFERROR(VLOOKUP(CI107,$B$107:$F$114,5,0),0)</f>
        <v>0</v>
      </c>
      <c r="CQ132" s="342">
        <f>IFERROR(VLOOKUP(CK107,$B$107:$F$114,5,0),0)</f>
        <v>0</v>
      </c>
      <c r="CR132" s="342">
        <f>IFERROR(VLOOKUP(CI107,$D$107:$G$114,4,0),0)</f>
        <v>0</v>
      </c>
      <c r="CS132" s="342">
        <f>IFERROR(VLOOKUP(CK107,$D$107:$G$114,4,0),0)</f>
        <v>0</v>
      </c>
      <c r="CT132" s="343"/>
      <c r="CV132" s="169"/>
      <c r="CW132" s="169"/>
      <c r="CX132" s="344">
        <f>IFERROR(VLOOKUP(CV121,$B$121:$F$122,5,0),0)</f>
        <v>0</v>
      </c>
      <c r="CY132" s="344">
        <f>IFERROR(VLOOKUP(CV121,$D$121:$G$122,4,0),0)</f>
        <v>0</v>
      </c>
      <c r="CZ132" s="344">
        <f>IFERROR(VLOOKUP(CX121,$B$121:$F$122,5,0),0)</f>
        <v>0</v>
      </c>
      <c r="DA132" s="344">
        <f>IFERROR(VLOOKUP(CX121,$D$121:$G$122,4,0),0)</f>
        <v>0</v>
      </c>
      <c r="DB132" s="342">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2">
        <f>IFERROR(VLOOKUP(CV107,$B$107:$F$114,5,0),0)</f>
        <v>0</v>
      </c>
      <c r="DD132" s="342">
        <f>IFERROR(VLOOKUP(CX107,$B$107:$F$114,5,0),0)</f>
        <v>0</v>
      </c>
      <c r="DE132" s="342">
        <f>IFERROR(VLOOKUP(CV107,$D$107:$G$114,4,0),0)</f>
        <v>0</v>
      </c>
      <c r="DF132" s="342">
        <f>IFERROR(VLOOKUP(CX107,$D$107:$G$114,4,0),0)</f>
        <v>0</v>
      </c>
      <c r="DG132" s="343"/>
      <c r="DI132" s="169"/>
      <c r="DJ132" s="169"/>
      <c r="DK132" s="344">
        <f>IFERROR(VLOOKUP(DI121,$B$121:$F$122,5,0),0)</f>
        <v>0</v>
      </c>
      <c r="DL132" s="344">
        <f>IFERROR(VLOOKUP(DI121,$D$121:$G$122,4,0),0)</f>
        <v>0</v>
      </c>
      <c r="DM132" s="344">
        <f>IFERROR(VLOOKUP(DK121,$B$121:$F$122,5,0),0)</f>
        <v>0</v>
      </c>
      <c r="DN132" s="344">
        <f>IFERROR(VLOOKUP(DK121,$D$121:$G$122,4,0),0)</f>
        <v>0</v>
      </c>
      <c r="DO132" s="342">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2">
        <f>IFERROR(VLOOKUP(DI107,$B$107:$F$114,5,0),0)</f>
        <v>0</v>
      </c>
      <c r="DQ132" s="342">
        <f>IFERROR(VLOOKUP(DK107,$B$107:$F$114,5,0),0)</f>
        <v>0</v>
      </c>
      <c r="DR132" s="342">
        <f>IFERROR(VLOOKUP(DI107,$D$107:$G$114,4,0),0)</f>
        <v>0</v>
      </c>
      <c r="DS132" s="342">
        <f>IFERROR(VLOOKUP(DK107,$D$107:$G$114,4,0),0)</f>
        <v>0</v>
      </c>
      <c r="DT132" s="343"/>
      <c r="DV132" s="169"/>
      <c r="DW132" s="169"/>
      <c r="DX132" s="344">
        <f>IFERROR(VLOOKUP(DV121,$B$121:$F$122,5,0),0)</f>
        <v>0</v>
      </c>
      <c r="DY132" s="344">
        <f>IFERROR(VLOOKUP(DV121,$D$121:$G$122,4,0),0)</f>
        <v>0</v>
      </c>
      <c r="DZ132" s="344">
        <f>IFERROR(VLOOKUP(DX121,$B$121:$F$122,5,0),0)</f>
        <v>0</v>
      </c>
      <c r="EA132" s="344">
        <f>IFERROR(VLOOKUP(DX121,$D$121:$G$122,4,0),0)</f>
        <v>0</v>
      </c>
      <c r="EB132" s="342">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2">
        <f>IFERROR(VLOOKUP(DV107,$B$107:$F$114,5,0),0)</f>
        <v>0</v>
      </c>
      <c r="ED132" s="342">
        <f>IFERROR(VLOOKUP(DX107,$B$107:$F$114,5,0),0)</f>
        <v>0</v>
      </c>
      <c r="EE132" s="342">
        <f>IFERROR(VLOOKUP(DV107,$D$107:$G$114,4,0),0)</f>
        <v>0</v>
      </c>
      <c r="EF132" s="342">
        <f>IFERROR(VLOOKUP(DX107,$D$107:$G$114,4,0),0)</f>
        <v>0</v>
      </c>
      <c r="EG132" s="343"/>
      <c r="EI132" s="169"/>
      <c r="EJ132" s="169"/>
      <c r="EK132" s="344">
        <f>IFERROR(VLOOKUP(EI121,$B$121:$F$122,5,0),0)</f>
        <v>0</v>
      </c>
      <c r="EL132" s="344">
        <f>IFERROR(VLOOKUP(EI121,$D$121:$G$122,4,0),0)</f>
        <v>0</v>
      </c>
      <c r="EM132" s="344">
        <f>IFERROR(VLOOKUP(EK121,$B$121:$F$122,5,0),0)</f>
        <v>0</v>
      </c>
      <c r="EN132" s="344">
        <f>IFERROR(VLOOKUP(EK121,$D$121:$G$122,4,0),0)</f>
        <v>0</v>
      </c>
      <c r="EO132" s="342">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2">
        <f>IFERROR(VLOOKUP(EI107,$B$107:$F$114,5,0),0)</f>
        <v>0</v>
      </c>
      <c r="EQ132" s="342">
        <f>IFERROR(VLOOKUP(EK107,$B$107:$F$114,5,0),0)</f>
        <v>0</v>
      </c>
      <c r="ER132" s="342">
        <f>IFERROR(VLOOKUP(EI107,$D$107:$G$114,4,0),0)</f>
        <v>0</v>
      </c>
      <c r="ES132" s="342">
        <f>IFERROR(VLOOKUP(EK107,$D$107:$G$114,4,0),0)</f>
        <v>0</v>
      </c>
      <c r="ET132" s="343"/>
      <c r="EV132" s="169"/>
      <c r="EW132" s="169"/>
      <c r="EX132" s="344">
        <f>IFERROR(VLOOKUP(EV121,$B$121:$F$122,5,0),0)</f>
        <v>0</v>
      </c>
      <c r="EY132" s="344">
        <f>IFERROR(VLOOKUP(EV121,$D$121:$G$122,4,0),0)</f>
        <v>0</v>
      </c>
      <c r="EZ132" s="344">
        <f>IFERROR(VLOOKUP(EX121,$B$121:$F$122,5,0),0)</f>
        <v>0</v>
      </c>
      <c r="FA132" s="344">
        <f>IFERROR(VLOOKUP(EX121,$D$121:$G$122,4,0),0)</f>
        <v>0</v>
      </c>
      <c r="FB132" s="342">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2">
        <f>IFERROR(VLOOKUP(EV107,$B$107:$F$114,5,0),0)</f>
        <v>0</v>
      </c>
      <c r="FD132" s="342">
        <f>IFERROR(VLOOKUP(EX107,$B$107:$F$114,5,0),0)</f>
        <v>0</v>
      </c>
      <c r="FE132" s="342">
        <f>IFERROR(VLOOKUP(EV107,$D$107:$G$114,4,0),0)</f>
        <v>0</v>
      </c>
      <c r="FF132" s="342">
        <f>IFERROR(VLOOKUP(EX107,$D$107:$G$114,4,0),0)</f>
        <v>0</v>
      </c>
      <c r="FG132" s="343"/>
      <c r="FI132" s="169"/>
      <c r="FJ132" s="169"/>
      <c r="FK132" s="344">
        <f>IFERROR(VLOOKUP(FI121,$B$121:$F$122,5,0),0)</f>
        <v>0</v>
      </c>
      <c r="FL132" s="344">
        <f>IFERROR(VLOOKUP(FI121,$D$121:$G$122,4,0),0)</f>
        <v>0</v>
      </c>
      <c r="FM132" s="344">
        <f>IFERROR(VLOOKUP(FK121,$B$121:$F$122,5,0),0)</f>
        <v>0</v>
      </c>
      <c r="FN132" s="344">
        <f>IFERROR(VLOOKUP(FK121,$D$121:$G$122,4,0),0)</f>
        <v>0</v>
      </c>
      <c r="FO132" s="342">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2">
        <f>IFERROR(VLOOKUP(FI107,$B$107:$F$114,5,0),0)</f>
        <v>0</v>
      </c>
      <c r="FQ132" s="342">
        <f>IFERROR(VLOOKUP(FK107,$B$107:$F$114,5,0),0)</f>
        <v>0</v>
      </c>
      <c r="FR132" s="342">
        <f>IFERROR(VLOOKUP(FI107,$D$107:$G$114,4,0),0)</f>
        <v>0</v>
      </c>
      <c r="FS132" s="342">
        <f>IFERROR(VLOOKUP(FK107,$D$107:$G$114,4,0),0)</f>
        <v>0</v>
      </c>
      <c r="FT132" s="343"/>
      <c r="FV132" s="169"/>
      <c r="FW132" s="169"/>
      <c r="FX132" s="344">
        <f>IFERROR(VLOOKUP(FV121,$B$121:$F$122,5,0),0)</f>
        <v>0</v>
      </c>
      <c r="FY132" s="344">
        <f>IFERROR(VLOOKUP(FV121,$D$121:$G$122,4,0),0)</f>
        <v>0</v>
      </c>
      <c r="FZ132" s="344">
        <f>IFERROR(VLOOKUP(FX121,$B$121:$F$122,5,0),0)</f>
        <v>0</v>
      </c>
      <c r="GA132" s="344">
        <f>IFERROR(VLOOKUP(FX121,$D$121:$G$122,4,0),0)</f>
        <v>0</v>
      </c>
      <c r="GB132" s="342">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2">
        <f>IFERROR(VLOOKUP(FV107,$B$107:$F$114,5,0),0)</f>
        <v>0</v>
      </c>
      <c r="GD132" s="342">
        <f>IFERROR(VLOOKUP(FX107,$B$107:$F$114,5,0),0)</f>
        <v>0</v>
      </c>
      <c r="GE132" s="342">
        <f>IFERROR(VLOOKUP(FV107,$D$107:$G$114,4,0),0)</f>
        <v>0</v>
      </c>
      <c r="GF132" s="342">
        <f>IFERROR(VLOOKUP(FX107,$D$107:$G$114,4,0),0)</f>
        <v>0</v>
      </c>
      <c r="GG132" s="343"/>
      <c r="GI132" s="169"/>
      <c r="GJ132" s="169"/>
      <c r="GK132" s="344">
        <f>IFERROR(VLOOKUP(GI121,$B$121:$F$122,5,0),0)</f>
        <v>0</v>
      </c>
      <c r="GL132" s="344">
        <f>IFERROR(VLOOKUP(GI121,$D$121:$G$122,4,0),0)</f>
        <v>0</v>
      </c>
      <c r="GM132" s="344">
        <f>IFERROR(VLOOKUP(GK121,$B$121:$F$122,5,0),0)</f>
        <v>0</v>
      </c>
      <c r="GN132" s="344">
        <f>IFERROR(VLOOKUP(GK121,$D$121:$G$122,4,0),0)</f>
        <v>0</v>
      </c>
      <c r="GO132" s="342">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2">
        <f>IFERROR(VLOOKUP(GI107,$B$107:$F$114,5,0),0)</f>
        <v>0</v>
      </c>
      <c r="GQ132" s="342">
        <f>IFERROR(VLOOKUP(GK107,$B$107:$F$114,5,0),0)</f>
        <v>0</v>
      </c>
      <c r="GR132" s="342">
        <f>IFERROR(VLOOKUP(GI107,$D$107:$G$114,4,0),0)</f>
        <v>0</v>
      </c>
      <c r="GS132" s="342">
        <f>IFERROR(VLOOKUP(GK107,$D$107:$G$114,4,0),0)</f>
        <v>0</v>
      </c>
      <c r="GT132" s="343"/>
      <c r="GV132" s="169"/>
      <c r="GW132" s="169"/>
      <c r="GX132" s="344">
        <f>IFERROR(VLOOKUP(GV121,$B$121:$F$122,5,0),0)</f>
        <v>0</v>
      </c>
      <c r="GY132" s="344">
        <f>IFERROR(VLOOKUP(GV121,$D$121:$G$122,4,0),0)</f>
        <v>0</v>
      </c>
      <c r="GZ132" s="344">
        <f>IFERROR(VLOOKUP(GX121,$B$121:$F$122,5,0),0)</f>
        <v>0</v>
      </c>
      <c r="HA132" s="344">
        <f>IFERROR(VLOOKUP(GX121,$D$121:$G$122,4,0),0)</f>
        <v>0</v>
      </c>
      <c r="HB132" s="342">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2">
        <f>IFERROR(VLOOKUP(GV107,$B$107:$F$114,5,0),0)</f>
        <v>0</v>
      </c>
      <c r="HD132" s="342">
        <f>IFERROR(VLOOKUP(GX107,$B$107:$F$114,5,0),0)</f>
        <v>0</v>
      </c>
      <c r="HE132" s="342">
        <f>IFERROR(VLOOKUP(GV107,$D$107:$G$114,4,0),0)</f>
        <v>0</v>
      </c>
      <c r="HF132" s="342">
        <f>IFERROR(VLOOKUP(GX107,$D$107:$G$114,4,0),0)</f>
        <v>0</v>
      </c>
      <c r="HG132" s="343"/>
      <c r="HI132" s="169"/>
      <c r="HJ132" s="169"/>
      <c r="HK132" s="344">
        <f>IFERROR(VLOOKUP(HI121,$B$121:$F$122,5,0),0)</f>
        <v>0</v>
      </c>
      <c r="HL132" s="344">
        <f>IFERROR(VLOOKUP(HI121,$D$121:$G$122,4,0),0)</f>
        <v>0</v>
      </c>
      <c r="HM132" s="344">
        <f>IFERROR(VLOOKUP(HK121,$B$121:$F$122,5,0),0)</f>
        <v>0</v>
      </c>
      <c r="HN132" s="344">
        <f>IFERROR(VLOOKUP(HK121,$D$121:$G$122,4,0),0)</f>
        <v>0</v>
      </c>
      <c r="HO132" s="342">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2">
        <f>IFERROR(VLOOKUP(HI107,$B$107:$F$114,5,0),0)</f>
        <v>0</v>
      </c>
      <c r="HQ132" s="342">
        <f>IFERROR(VLOOKUP(HK107,$B$107:$F$114,5,0),0)</f>
        <v>0</v>
      </c>
      <c r="HR132" s="342">
        <f>IFERROR(VLOOKUP(HI107,$D$107:$G$114,4,0),0)</f>
        <v>0</v>
      </c>
      <c r="HS132" s="342">
        <f>IFERROR(VLOOKUP(HK107,$D$107:$G$114,4,0),0)</f>
        <v>0</v>
      </c>
      <c r="HT132" s="343"/>
      <c r="HV132" s="169"/>
      <c r="HW132" s="169"/>
      <c r="HX132" s="344">
        <f>IFERROR(VLOOKUP(HV121,$B$121:$F$122,5,0),0)</f>
        <v>0</v>
      </c>
      <c r="HY132" s="344">
        <f>IFERROR(VLOOKUP(HV121,$D$121:$G$122,4,0),0)</f>
        <v>0</v>
      </c>
      <c r="HZ132" s="344">
        <f>IFERROR(VLOOKUP(HX121,$B$121:$F$122,5,0),0)</f>
        <v>0</v>
      </c>
      <c r="IA132" s="344">
        <f>IFERROR(VLOOKUP(HX121,$D$121:$G$122,4,0),0)</f>
        <v>0</v>
      </c>
      <c r="IB132" s="342">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2">
        <f>IFERROR(VLOOKUP(HV107,$B$107:$F$114,5,0),0)</f>
        <v>0</v>
      </c>
      <c r="ID132" s="342">
        <f>IFERROR(VLOOKUP(HX107,$B$107:$F$114,5,0),0)</f>
        <v>0</v>
      </c>
      <c r="IE132" s="342">
        <f>IFERROR(VLOOKUP(HV107,$D$107:$G$114,4,0),0)</f>
        <v>0</v>
      </c>
      <c r="IF132" s="342">
        <f>IFERROR(VLOOKUP(HX107,$D$107:$G$114,4,0),0)</f>
        <v>0</v>
      </c>
      <c r="IG132" s="343"/>
      <c r="II132" s="169"/>
      <c r="IJ132" s="169"/>
      <c r="IK132" s="344">
        <f>IFERROR(VLOOKUP(II121,$B$121:$F$122,5,0),0)</f>
        <v>0</v>
      </c>
      <c r="IL132" s="344">
        <f>IFERROR(VLOOKUP(II121,$D$121:$G$122,4,0),0)</f>
        <v>0</v>
      </c>
      <c r="IM132" s="344">
        <f>IFERROR(VLOOKUP(IK121,$B$121:$F$122,5,0),0)</f>
        <v>0</v>
      </c>
      <c r="IN132" s="344">
        <f>IFERROR(VLOOKUP(IK121,$D$121:$G$122,4,0),0)</f>
        <v>0</v>
      </c>
      <c r="IO132" s="342">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2">
        <f>IFERROR(VLOOKUP(II107,$B$107:$F$114,5,0),0)</f>
        <v>0</v>
      </c>
      <c r="IQ132" s="342">
        <f>IFERROR(VLOOKUP(IK107,$B$107:$F$114,5,0),0)</f>
        <v>0</v>
      </c>
      <c r="IR132" s="342">
        <f>IFERROR(VLOOKUP(II107,$D$107:$G$114,4,0),0)</f>
        <v>0</v>
      </c>
      <c r="IS132" s="342">
        <f>IFERROR(VLOOKUP(IK107,$D$107:$G$114,4,0),0)</f>
        <v>0</v>
      </c>
      <c r="IT132" s="343"/>
      <c r="IV132" s="169"/>
      <c r="IW132" s="169"/>
      <c r="IX132" s="344">
        <f>IFERROR(VLOOKUP(IV121,$B$121:$F$122,5,0),0)</f>
        <v>0</v>
      </c>
      <c r="IY132" s="344">
        <f>IFERROR(VLOOKUP(IV121,$D$121:$G$122,4,0),0)</f>
        <v>0</v>
      </c>
      <c r="IZ132" s="344">
        <f>IFERROR(VLOOKUP(IX121,$B$121:$F$122,5,0),0)</f>
        <v>0</v>
      </c>
      <c r="JA132" s="344">
        <f>IFERROR(VLOOKUP(IX121,$D$121:$G$122,4,0),0)</f>
        <v>0</v>
      </c>
      <c r="JB132" s="342">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2">
        <f>IFERROR(VLOOKUP(IV107,$B$107:$F$114,5,0),0)</f>
        <v>0</v>
      </c>
      <c r="JD132" s="342">
        <f>IFERROR(VLOOKUP(IX107,$B$107:$F$114,5,0),0)</f>
        <v>0</v>
      </c>
      <c r="JE132" s="342">
        <f>IFERROR(VLOOKUP(IV107,$D$107:$G$114,4,0),0)</f>
        <v>0</v>
      </c>
      <c r="JF132" s="342">
        <f>IFERROR(VLOOKUP(IX107,$D$107:$G$114,4,0),0)</f>
        <v>0</v>
      </c>
      <c r="JG132" s="343"/>
      <c r="JI132" s="169"/>
      <c r="JJ132" s="169"/>
      <c r="JK132" s="344">
        <f>IFERROR(VLOOKUP(JI121,$B$121:$F$122,5,0),0)</f>
        <v>0</v>
      </c>
      <c r="JL132" s="344">
        <f>IFERROR(VLOOKUP(JI121,$D$121:$G$122,4,0),0)</f>
        <v>0</v>
      </c>
      <c r="JM132" s="344">
        <f>IFERROR(VLOOKUP(JK121,$B$121:$F$122,5,0),0)</f>
        <v>0</v>
      </c>
      <c r="JN132" s="344">
        <f>IFERROR(VLOOKUP(JK121,$D$121:$G$122,4,0),0)</f>
        <v>0</v>
      </c>
      <c r="JO132" s="342">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2">
        <f>IFERROR(VLOOKUP(JI107,$B$107:$F$114,5,0),0)</f>
        <v>0</v>
      </c>
      <c r="JQ132" s="342">
        <f>IFERROR(VLOOKUP(JK107,$B$107:$F$114,5,0),0)</f>
        <v>0</v>
      </c>
      <c r="JR132" s="342">
        <f>IFERROR(VLOOKUP(JI107,$D$107:$G$114,4,0),0)</f>
        <v>0</v>
      </c>
      <c r="JS132" s="342">
        <f>IFERROR(VLOOKUP(JK107,$D$107:$G$114,4,0),0)</f>
        <v>0</v>
      </c>
      <c r="JT132" s="343"/>
      <c r="JV132" s="169"/>
      <c r="JW132" s="169"/>
      <c r="JX132" s="344">
        <f>IFERROR(VLOOKUP(JV121,$B$121:$F$122,5,0),0)</f>
        <v>0</v>
      </c>
      <c r="JY132" s="344">
        <f>IFERROR(VLOOKUP(JV121,$D$121:$G$122,4,0),0)</f>
        <v>0</v>
      </c>
      <c r="JZ132" s="344">
        <f>IFERROR(VLOOKUP(JX121,$B$121:$F$122,5,0),0)</f>
        <v>0</v>
      </c>
      <c r="KA132" s="344">
        <f>IFERROR(VLOOKUP(JX121,$D$121:$G$122,4,0),0)</f>
        <v>0</v>
      </c>
      <c r="KB132" s="342">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2">
        <f>IFERROR(VLOOKUP(JV107,$B$107:$F$114,5,0),0)</f>
        <v>0</v>
      </c>
      <c r="KD132" s="342">
        <f>IFERROR(VLOOKUP(JX107,$B$107:$F$114,5,0),0)</f>
        <v>0</v>
      </c>
      <c r="KE132" s="342">
        <f>IFERROR(VLOOKUP(JV107,$D$107:$G$114,4,0),0)</f>
        <v>0</v>
      </c>
      <c r="KF132" s="342">
        <f>IFERROR(VLOOKUP(JX107,$D$107:$G$114,4,0),0)</f>
        <v>0</v>
      </c>
      <c r="KG132" s="343"/>
      <c r="KI132" s="169"/>
      <c r="KJ132" s="169"/>
      <c r="KK132" s="344">
        <f>IFERROR(VLOOKUP(KI121,$B$121:$F$122,5,0),0)</f>
        <v>0</v>
      </c>
      <c r="KL132" s="344">
        <f>IFERROR(VLOOKUP(KI121,$D$121:$G$122,4,0),0)</f>
        <v>0</v>
      </c>
      <c r="KM132" s="344">
        <f>IFERROR(VLOOKUP(KK121,$B$121:$F$122,5,0),0)</f>
        <v>0</v>
      </c>
      <c r="KN132" s="344">
        <f>IFERROR(VLOOKUP(KK121,$D$121:$G$122,4,0),0)</f>
        <v>0</v>
      </c>
      <c r="KO132" s="342">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2">
        <f>IFERROR(VLOOKUP(KI107,$B$107:$F$114,5,0),0)</f>
        <v>0</v>
      </c>
      <c r="KQ132" s="342">
        <f>IFERROR(VLOOKUP(KK107,$B$107:$F$114,5,0),0)</f>
        <v>0</v>
      </c>
      <c r="KR132" s="342">
        <f>IFERROR(VLOOKUP(KI107,$D$107:$G$114,4,0),0)</f>
        <v>0</v>
      </c>
      <c r="KS132" s="342">
        <f>IFERROR(VLOOKUP(KK107,$D$107:$G$114,4,0),0)</f>
        <v>0</v>
      </c>
      <c r="KT132" s="343"/>
      <c r="KV132" s="169"/>
      <c r="KW132" s="169"/>
      <c r="KX132" s="344">
        <f>IFERROR(VLOOKUP(KV121,$B$121:$F$122,5,0),0)</f>
        <v>0</v>
      </c>
      <c r="KY132" s="344">
        <f>IFERROR(VLOOKUP(KV121,$D$121:$G$122,4,0),0)</f>
        <v>0</v>
      </c>
      <c r="KZ132" s="344">
        <f>IFERROR(VLOOKUP(KX121,$B$121:$F$122,5,0),0)</f>
        <v>0</v>
      </c>
      <c r="LA132" s="344">
        <f>IFERROR(VLOOKUP(KX121,$D$121:$G$122,4,0),0)</f>
        <v>0</v>
      </c>
      <c r="LB132" s="342">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2">
        <f>IFERROR(VLOOKUP(KV107,$B$107:$F$114,5,0),0)</f>
        <v>0</v>
      </c>
      <c r="LD132" s="342">
        <f>IFERROR(VLOOKUP(KX107,$B$107:$F$114,5,0),0)</f>
        <v>0</v>
      </c>
      <c r="LE132" s="342">
        <f>IFERROR(VLOOKUP(KV107,$D$107:$G$114,4,0),0)</f>
        <v>0</v>
      </c>
      <c r="LF132" s="342">
        <f>IFERROR(VLOOKUP(KX107,$D$107:$G$114,4,0),0)</f>
        <v>0</v>
      </c>
      <c r="LG132" s="343"/>
      <c r="LI132" s="169"/>
      <c r="LJ132" s="169"/>
      <c r="LK132" s="344">
        <f>IFERROR(VLOOKUP(LI121,$B$121:$F$122,5,0),0)</f>
        <v>0</v>
      </c>
      <c r="LL132" s="344">
        <f>IFERROR(VLOOKUP(LI121,$D$121:$G$122,4,0),0)</f>
        <v>0</v>
      </c>
      <c r="LM132" s="344">
        <f>IFERROR(VLOOKUP(LK121,$B$121:$F$122,5,0),0)</f>
        <v>0</v>
      </c>
      <c r="LN132" s="344">
        <f>IFERROR(VLOOKUP(LK121,$D$121:$G$122,4,0),0)</f>
        <v>0</v>
      </c>
      <c r="LO132" s="342">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2">
        <f>IFERROR(VLOOKUP(LI107,$B$107:$F$114,5,0),0)</f>
        <v>0</v>
      </c>
      <c r="LQ132" s="342">
        <f>IFERROR(VLOOKUP(LK107,$B$107:$F$114,5,0),0)</f>
        <v>0</v>
      </c>
      <c r="LR132" s="342">
        <f>IFERROR(VLOOKUP(LI107,$D$107:$G$114,4,0),0)</f>
        <v>0</v>
      </c>
      <c r="LS132" s="342">
        <f>IFERROR(VLOOKUP(LK107,$D$107:$G$114,4,0),0)</f>
        <v>0</v>
      </c>
      <c r="LT132" s="343"/>
      <c r="LV132" s="169"/>
      <c r="LW132" s="169"/>
      <c r="LX132" s="344">
        <f>IFERROR(VLOOKUP(LV121,$B$121:$F$122,5,0),0)</f>
        <v>0</v>
      </c>
      <c r="LY132" s="344">
        <f>IFERROR(VLOOKUP(LV121,$D$121:$G$122,4,0),0)</f>
        <v>0</v>
      </c>
      <c r="LZ132" s="344">
        <f>IFERROR(VLOOKUP(LX121,$B$121:$F$122,5,0),0)</f>
        <v>0</v>
      </c>
      <c r="MA132" s="344">
        <f>IFERROR(VLOOKUP(LX121,$D$121:$G$122,4,0),0)</f>
        <v>0</v>
      </c>
      <c r="MB132" s="342">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2">
        <f>IFERROR(VLOOKUP(LV107,$B$107:$F$114,5,0),0)</f>
        <v>0</v>
      </c>
      <c r="MD132" s="342">
        <f>IFERROR(VLOOKUP(LX107,$B$107:$F$114,5,0),0)</f>
        <v>0</v>
      </c>
      <c r="ME132" s="342">
        <f>IFERROR(VLOOKUP(LV107,$D$107:$G$114,4,0),0)</f>
        <v>0</v>
      </c>
      <c r="MF132" s="342">
        <f>IFERROR(VLOOKUP(LX107,$D$107:$G$114,4,0),0)</f>
        <v>0</v>
      </c>
      <c r="MG132" s="343"/>
    </row>
    <row r="133" spans="2:345" ht="16.5" customHeight="1" thickTop="1">
      <c r="B133" s="846" t="str">
        <f>Language!$E$230</f>
        <v>Als u bijvoorbeeld nog tien mensen wilt toevoegen, selecteert u de kolommen HI tot en met MG en kopieert u deze naar rechts. Afgerond. (Bladbescherming verwijderen!)</v>
      </c>
      <c r="C133" s="847"/>
      <c r="D133" s="847"/>
      <c r="E133" s="847"/>
      <c r="F133" s="847"/>
      <c r="G133" s="847"/>
      <c r="H133" s="848"/>
      <c r="I133" s="293"/>
      <c r="J133" s="147"/>
      <c r="K133" s="344">
        <f>IFERROR(VLOOKUP(I122,$B$121:$F$122,5,0),0)</f>
        <v>0</v>
      </c>
      <c r="L133" s="344">
        <f>IFERROR(VLOOKUP(I122,$D$121:$G$122,4,0),0)</f>
        <v>0</v>
      </c>
      <c r="M133" s="344">
        <f>IFERROR(VLOOKUP(K122,$B$121:$F$122,5,0),0)</f>
        <v>0</v>
      </c>
      <c r="N133" s="344">
        <f>IFERROR(VLOOKUP(K122,$D$121:$G$122,4,0),0)</f>
        <v>0</v>
      </c>
      <c r="O133" s="342">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2">
        <f t="shared" ref="P133:P139" si="1717">IFERROR(VLOOKUP(I108,$B$107:$F$114,5,0),0)</f>
        <v>0</v>
      </c>
      <c r="Q133" s="342">
        <f t="shared" ref="Q133:Q139" si="1718">IFERROR(VLOOKUP(K108,$B$107:$F$114,5,0),0)</f>
        <v>0</v>
      </c>
      <c r="R133" s="342">
        <f t="shared" ref="R133:R139" si="1719">IFERROR(VLOOKUP(I108,$D$107:$G$114,4,0),0)</f>
        <v>0</v>
      </c>
      <c r="S133" s="342">
        <f t="shared" ref="S133:S139" si="1720">IFERROR(VLOOKUP(K108,$D$107:$G$114,4,0),0)</f>
        <v>0</v>
      </c>
      <c r="T133" s="343"/>
      <c r="V133" s="147"/>
      <c r="W133" s="147"/>
      <c r="X133" s="344">
        <f>IFERROR(VLOOKUP(V122,$B$121:$F$122,5,0),0)</f>
        <v>0</v>
      </c>
      <c r="Y133" s="344">
        <f>IFERROR(VLOOKUP(V122,$D$121:$G$122,4,0),0)</f>
        <v>0</v>
      </c>
      <c r="Z133" s="344">
        <f>IFERROR(VLOOKUP(X122,$B$121:$F$122,5,0),0)</f>
        <v>0</v>
      </c>
      <c r="AA133" s="344">
        <f>IFERROR(VLOOKUP(X122,$D$121:$G$122,4,0),0)</f>
        <v>0</v>
      </c>
      <c r="AB133" s="342">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2">
        <f t="shared" ref="AC133:AC139" si="1722">IFERROR(VLOOKUP(V108,$B$107:$F$114,5,0),0)</f>
        <v>0</v>
      </c>
      <c r="AD133" s="342">
        <f t="shared" ref="AD133:AD139" si="1723">IFERROR(VLOOKUP(X108,$B$107:$F$114,5,0),0)</f>
        <v>0</v>
      </c>
      <c r="AE133" s="342">
        <f t="shared" ref="AE133:AE139" si="1724">IFERROR(VLOOKUP(V108,$D$107:$G$114,4,0),0)</f>
        <v>0</v>
      </c>
      <c r="AF133" s="342">
        <f t="shared" ref="AF133:AF139" si="1725">IFERROR(VLOOKUP(X108,$D$107:$G$114,4,0),0)</f>
        <v>0</v>
      </c>
      <c r="AG133" s="343"/>
      <c r="AI133" s="147"/>
      <c r="AJ133" s="147"/>
      <c r="AK133" s="344">
        <f>IFERROR(VLOOKUP(AI122,$B$121:$F$122,5,0),0)</f>
        <v>0</v>
      </c>
      <c r="AL133" s="344">
        <f>IFERROR(VLOOKUP(AI122,$D$121:$G$122,4,0),0)</f>
        <v>0</v>
      </c>
      <c r="AM133" s="344">
        <f>IFERROR(VLOOKUP(AK122,$B$121:$F$122,5,0),0)</f>
        <v>0</v>
      </c>
      <c r="AN133" s="344">
        <f>IFERROR(VLOOKUP(AK122,$D$121:$G$122,4,0),0)</f>
        <v>0</v>
      </c>
      <c r="AO133" s="342">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2">
        <f t="shared" ref="AP133:AP139" si="1727">IFERROR(VLOOKUP(AI108,$B$107:$F$114,5,0),0)</f>
        <v>0</v>
      </c>
      <c r="AQ133" s="342">
        <f t="shared" ref="AQ133:AQ139" si="1728">IFERROR(VLOOKUP(AK108,$B$107:$F$114,5,0),0)</f>
        <v>0</v>
      </c>
      <c r="AR133" s="342">
        <f t="shared" ref="AR133:AR139" si="1729">IFERROR(VLOOKUP(AI108,$D$107:$G$114,4,0),0)</f>
        <v>0</v>
      </c>
      <c r="AS133" s="342">
        <f t="shared" ref="AS133:AS139" si="1730">IFERROR(VLOOKUP(AK108,$D$107:$G$114,4,0),0)</f>
        <v>0</v>
      </c>
      <c r="AT133" s="343"/>
      <c r="AV133" s="147"/>
      <c r="AW133" s="147"/>
      <c r="AX133" s="344">
        <f>IFERROR(VLOOKUP(AV122,$B$121:$F$122,5,0),0)</f>
        <v>0</v>
      </c>
      <c r="AY133" s="344">
        <f>IFERROR(VLOOKUP(AV122,$D$121:$G$122,4,0),0)</f>
        <v>0</v>
      </c>
      <c r="AZ133" s="344">
        <f>IFERROR(VLOOKUP(AX122,$B$121:$F$122,5,0),0)</f>
        <v>0</v>
      </c>
      <c r="BA133" s="344">
        <f>IFERROR(VLOOKUP(AX122,$D$121:$G$122,4,0),0)</f>
        <v>0</v>
      </c>
      <c r="BB133" s="342">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2">
        <f t="shared" ref="BC133:BC139" si="1732">IFERROR(VLOOKUP(AV108,$B$107:$F$114,5,0),0)</f>
        <v>0</v>
      </c>
      <c r="BD133" s="342">
        <f t="shared" ref="BD133:BD139" si="1733">IFERROR(VLOOKUP(AX108,$B$107:$F$114,5,0),0)</f>
        <v>0</v>
      </c>
      <c r="BE133" s="342">
        <f t="shared" ref="BE133:BE139" si="1734">IFERROR(VLOOKUP(AV108,$D$107:$G$114,4,0),0)</f>
        <v>0</v>
      </c>
      <c r="BF133" s="342">
        <f t="shared" ref="BF133:BF139" si="1735">IFERROR(VLOOKUP(AX108,$D$107:$G$114,4,0),0)</f>
        <v>0</v>
      </c>
      <c r="BG133" s="343"/>
      <c r="BI133" s="147"/>
      <c r="BJ133" s="147"/>
      <c r="BK133" s="344">
        <f>IFERROR(VLOOKUP(BI122,$B$121:$F$122,5,0),0)</f>
        <v>0</v>
      </c>
      <c r="BL133" s="344">
        <f>IFERROR(VLOOKUP(BI122,$D$121:$G$122,4,0),0)</f>
        <v>0</v>
      </c>
      <c r="BM133" s="344">
        <f>IFERROR(VLOOKUP(BK122,$B$121:$F$122,5,0),0)</f>
        <v>0</v>
      </c>
      <c r="BN133" s="344">
        <f>IFERROR(VLOOKUP(BK122,$D$121:$G$122,4,0),0)</f>
        <v>0</v>
      </c>
      <c r="BO133" s="342">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2">
        <f t="shared" ref="BP133:BP139" si="1737">IFERROR(VLOOKUP(BI108,$B$107:$F$114,5,0),0)</f>
        <v>0</v>
      </c>
      <c r="BQ133" s="342">
        <f t="shared" ref="BQ133:BQ139" si="1738">IFERROR(VLOOKUP(BK108,$B$107:$F$114,5,0),0)</f>
        <v>0</v>
      </c>
      <c r="BR133" s="342">
        <f t="shared" ref="BR133:BR139" si="1739">IFERROR(VLOOKUP(BI108,$D$107:$G$114,4,0),0)</f>
        <v>0</v>
      </c>
      <c r="BS133" s="342">
        <f t="shared" ref="BS133:BS139" si="1740">IFERROR(VLOOKUP(BK108,$D$107:$G$114,4,0),0)</f>
        <v>0</v>
      </c>
      <c r="BT133" s="343"/>
      <c r="BV133" s="147"/>
      <c r="BW133" s="147"/>
      <c r="BX133" s="344">
        <f>IFERROR(VLOOKUP(BV122,$B$121:$F$122,5,0),0)</f>
        <v>0</v>
      </c>
      <c r="BY133" s="344">
        <f>IFERROR(VLOOKUP(BV122,$D$121:$G$122,4,0),0)</f>
        <v>0</v>
      </c>
      <c r="BZ133" s="344">
        <f>IFERROR(VLOOKUP(BX122,$B$121:$F$122,5,0),0)</f>
        <v>0</v>
      </c>
      <c r="CA133" s="344">
        <f>IFERROR(VLOOKUP(BX122,$D$121:$G$122,4,0),0)</f>
        <v>0</v>
      </c>
      <c r="CB133" s="342">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2">
        <f t="shared" ref="CC133:CC139" si="1742">IFERROR(VLOOKUP(BV108,$B$107:$F$114,5,0),0)</f>
        <v>0</v>
      </c>
      <c r="CD133" s="342">
        <f t="shared" ref="CD133:CD139" si="1743">IFERROR(VLOOKUP(BX108,$B$107:$F$114,5,0),0)</f>
        <v>0</v>
      </c>
      <c r="CE133" s="342">
        <f t="shared" ref="CE133:CE139" si="1744">IFERROR(VLOOKUP(BV108,$D$107:$G$114,4,0),0)</f>
        <v>0</v>
      </c>
      <c r="CF133" s="342">
        <f t="shared" ref="CF133:CF139" si="1745">IFERROR(VLOOKUP(BX108,$D$107:$G$114,4,0),0)</f>
        <v>0</v>
      </c>
      <c r="CG133" s="343"/>
      <c r="CI133" s="147"/>
      <c r="CJ133" s="147"/>
      <c r="CK133" s="344">
        <f>IFERROR(VLOOKUP(CI122,$B$121:$F$122,5,0),0)</f>
        <v>0</v>
      </c>
      <c r="CL133" s="344">
        <f>IFERROR(VLOOKUP(CI122,$D$121:$G$122,4,0),0)</f>
        <v>0</v>
      </c>
      <c r="CM133" s="344">
        <f>IFERROR(VLOOKUP(CK122,$B$121:$F$122,5,0),0)</f>
        <v>0</v>
      </c>
      <c r="CN133" s="344">
        <f>IFERROR(VLOOKUP(CK122,$D$121:$G$122,4,0),0)</f>
        <v>0</v>
      </c>
      <c r="CO133" s="342">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2">
        <f t="shared" ref="CP133:CP139" si="1747">IFERROR(VLOOKUP(CI108,$B$107:$F$114,5,0),0)</f>
        <v>0</v>
      </c>
      <c r="CQ133" s="342">
        <f t="shared" ref="CQ133:CQ139" si="1748">IFERROR(VLOOKUP(CK108,$B$107:$F$114,5,0),0)</f>
        <v>0</v>
      </c>
      <c r="CR133" s="342">
        <f t="shared" ref="CR133:CR139" si="1749">IFERROR(VLOOKUP(CI108,$D$107:$G$114,4,0),0)</f>
        <v>0</v>
      </c>
      <c r="CS133" s="342">
        <f t="shared" ref="CS133:CS139" si="1750">IFERROR(VLOOKUP(CK108,$D$107:$G$114,4,0),0)</f>
        <v>0</v>
      </c>
      <c r="CT133" s="343"/>
      <c r="CV133" s="147"/>
      <c r="CW133" s="147"/>
      <c r="CX133" s="344">
        <f>IFERROR(VLOOKUP(CV122,$B$121:$F$122,5,0),0)</f>
        <v>0</v>
      </c>
      <c r="CY133" s="344">
        <f>IFERROR(VLOOKUP(CV122,$D$121:$G$122,4,0),0)</f>
        <v>0</v>
      </c>
      <c r="CZ133" s="344">
        <f>IFERROR(VLOOKUP(CX122,$B$121:$F$122,5,0),0)</f>
        <v>0</v>
      </c>
      <c r="DA133" s="344">
        <f>IFERROR(VLOOKUP(CX122,$D$121:$G$122,4,0),0)</f>
        <v>0</v>
      </c>
      <c r="DB133" s="342">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2">
        <f t="shared" ref="DC133:DC139" si="1752">IFERROR(VLOOKUP(CV108,$B$107:$F$114,5,0),0)</f>
        <v>0</v>
      </c>
      <c r="DD133" s="342">
        <f t="shared" ref="DD133:DD139" si="1753">IFERROR(VLOOKUP(CX108,$B$107:$F$114,5,0),0)</f>
        <v>0</v>
      </c>
      <c r="DE133" s="342">
        <f t="shared" ref="DE133:DE139" si="1754">IFERROR(VLOOKUP(CV108,$D$107:$G$114,4,0),0)</f>
        <v>0</v>
      </c>
      <c r="DF133" s="342">
        <f t="shared" ref="DF133:DF139" si="1755">IFERROR(VLOOKUP(CX108,$D$107:$G$114,4,0),0)</f>
        <v>0</v>
      </c>
      <c r="DG133" s="343"/>
      <c r="DI133" s="147"/>
      <c r="DJ133" s="147"/>
      <c r="DK133" s="344">
        <f>IFERROR(VLOOKUP(DI122,$B$121:$F$122,5,0),0)</f>
        <v>0</v>
      </c>
      <c r="DL133" s="344">
        <f>IFERROR(VLOOKUP(DI122,$D$121:$G$122,4,0),0)</f>
        <v>0</v>
      </c>
      <c r="DM133" s="344">
        <f>IFERROR(VLOOKUP(DK122,$B$121:$F$122,5,0),0)</f>
        <v>0</v>
      </c>
      <c r="DN133" s="344">
        <f>IFERROR(VLOOKUP(DK122,$D$121:$G$122,4,0),0)</f>
        <v>0</v>
      </c>
      <c r="DO133" s="342">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2">
        <f t="shared" ref="DP133:DP139" si="1757">IFERROR(VLOOKUP(DI108,$B$107:$F$114,5,0),0)</f>
        <v>0</v>
      </c>
      <c r="DQ133" s="342">
        <f t="shared" ref="DQ133:DQ139" si="1758">IFERROR(VLOOKUP(DK108,$B$107:$F$114,5,0),0)</f>
        <v>0</v>
      </c>
      <c r="DR133" s="342">
        <f t="shared" ref="DR133:DR139" si="1759">IFERROR(VLOOKUP(DI108,$D$107:$G$114,4,0),0)</f>
        <v>0</v>
      </c>
      <c r="DS133" s="342">
        <f t="shared" ref="DS133:DS139" si="1760">IFERROR(VLOOKUP(DK108,$D$107:$G$114,4,0),0)</f>
        <v>0</v>
      </c>
      <c r="DT133" s="343"/>
      <c r="DV133" s="147"/>
      <c r="DW133" s="147"/>
      <c r="DX133" s="344">
        <f>IFERROR(VLOOKUP(DV122,$B$121:$F$122,5,0),0)</f>
        <v>0</v>
      </c>
      <c r="DY133" s="344">
        <f>IFERROR(VLOOKUP(DV122,$D$121:$G$122,4,0),0)</f>
        <v>0</v>
      </c>
      <c r="DZ133" s="344">
        <f>IFERROR(VLOOKUP(DX122,$B$121:$F$122,5,0),0)</f>
        <v>0</v>
      </c>
      <c r="EA133" s="344">
        <f>IFERROR(VLOOKUP(DX122,$D$121:$G$122,4,0),0)</f>
        <v>0</v>
      </c>
      <c r="EB133" s="342">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2">
        <f t="shared" ref="EC133:EC139" si="1762">IFERROR(VLOOKUP(DV108,$B$107:$F$114,5,0),0)</f>
        <v>0</v>
      </c>
      <c r="ED133" s="342">
        <f t="shared" ref="ED133:ED139" si="1763">IFERROR(VLOOKUP(DX108,$B$107:$F$114,5,0),0)</f>
        <v>0</v>
      </c>
      <c r="EE133" s="342">
        <f t="shared" ref="EE133:EE139" si="1764">IFERROR(VLOOKUP(DV108,$D$107:$G$114,4,0),0)</f>
        <v>0</v>
      </c>
      <c r="EF133" s="342">
        <f t="shared" ref="EF133:EF139" si="1765">IFERROR(VLOOKUP(DX108,$D$107:$G$114,4,0),0)</f>
        <v>0</v>
      </c>
      <c r="EG133" s="343"/>
      <c r="EI133" s="147"/>
      <c r="EJ133" s="147"/>
      <c r="EK133" s="344">
        <f>IFERROR(VLOOKUP(EI122,$B$121:$F$122,5,0),0)</f>
        <v>0</v>
      </c>
      <c r="EL133" s="344">
        <f>IFERROR(VLOOKUP(EI122,$D$121:$G$122,4,0),0)</f>
        <v>0</v>
      </c>
      <c r="EM133" s="344">
        <f>IFERROR(VLOOKUP(EK122,$B$121:$F$122,5,0),0)</f>
        <v>0</v>
      </c>
      <c r="EN133" s="344">
        <f>IFERROR(VLOOKUP(EK122,$D$121:$G$122,4,0),0)</f>
        <v>0</v>
      </c>
      <c r="EO133" s="342">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2">
        <f t="shared" ref="EP133:EP139" si="1767">IFERROR(VLOOKUP(EI108,$B$107:$F$114,5,0),0)</f>
        <v>0</v>
      </c>
      <c r="EQ133" s="342">
        <f t="shared" ref="EQ133:EQ139" si="1768">IFERROR(VLOOKUP(EK108,$B$107:$F$114,5,0),0)</f>
        <v>0</v>
      </c>
      <c r="ER133" s="342">
        <f t="shared" ref="ER133:ER139" si="1769">IFERROR(VLOOKUP(EI108,$D$107:$G$114,4,0),0)</f>
        <v>0</v>
      </c>
      <c r="ES133" s="342">
        <f t="shared" ref="ES133:ES139" si="1770">IFERROR(VLOOKUP(EK108,$D$107:$G$114,4,0),0)</f>
        <v>0</v>
      </c>
      <c r="ET133" s="343"/>
      <c r="EV133" s="147"/>
      <c r="EW133" s="147"/>
      <c r="EX133" s="344">
        <f>IFERROR(VLOOKUP(EV122,$B$121:$F$122,5,0),0)</f>
        <v>0</v>
      </c>
      <c r="EY133" s="344">
        <f>IFERROR(VLOOKUP(EV122,$D$121:$G$122,4,0),0)</f>
        <v>0</v>
      </c>
      <c r="EZ133" s="344">
        <f>IFERROR(VLOOKUP(EX122,$B$121:$F$122,5,0),0)</f>
        <v>0</v>
      </c>
      <c r="FA133" s="344">
        <f>IFERROR(VLOOKUP(EX122,$D$121:$G$122,4,0),0)</f>
        <v>0</v>
      </c>
      <c r="FB133" s="342">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2">
        <f t="shared" ref="FC133:FC139" si="1772">IFERROR(VLOOKUP(EV108,$B$107:$F$114,5,0),0)</f>
        <v>0</v>
      </c>
      <c r="FD133" s="342">
        <f t="shared" ref="FD133:FD139" si="1773">IFERROR(VLOOKUP(EX108,$B$107:$F$114,5,0),0)</f>
        <v>0</v>
      </c>
      <c r="FE133" s="342">
        <f t="shared" ref="FE133:FE139" si="1774">IFERROR(VLOOKUP(EV108,$D$107:$G$114,4,0),0)</f>
        <v>0</v>
      </c>
      <c r="FF133" s="342">
        <f t="shared" ref="FF133:FF139" si="1775">IFERROR(VLOOKUP(EX108,$D$107:$G$114,4,0),0)</f>
        <v>0</v>
      </c>
      <c r="FG133" s="343"/>
      <c r="FI133" s="147"/>
      <c r="FJ133" s="147"/>
      <c r="FK133" s="344">
        <f>IFERROR(VLOOKUP(FI122,$B$121:$F$122,5,0),0)</f>
        <v>0</v>
      </c>
      <c r="FL133" s="344">
        <f>IFERROR(VLOOKUP(FI122,$D$121:$G$122,4,0),0)</f>
        <v>0</v>
      </c>
      <c r="FM133" s="344">
        <f>IFERROR(VLOOKUP(FK122,$B$121:$F$122,5,0),0)</f>
        <v>0</v>
      </c>
      <c r="FN133" s="344">
        <f>IFERROR(VLOOKUP(FK122,$D$121:$G$122,4,0),0)</f>
        <v>0</v>
      </c>
      <c r="FO133" s="342">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2">
        <f t="shared" ref="FP133:FP139" si="1777">IFERROR(VLOOKUP(FI108,$B$107:$F$114,5,0),0)</f>
        <v>0</v>
      </c>
      <c r="FQ133" s="342">
        <f t="shared" ref="FQ133:FQ139" si="1778">IFERROR(VLOOKUP(FK108,$B$107:$F$114,5,0),0)</f>
        <v>0</v>
      </c>
      <c r="FR133" s="342">
        <f t="shared" ref="FR133:FR139" si="1779">IFERROR(VLOOKUP(FI108,$D$107:$G$114,4,0),0)</f>
        <v>0</v>
      </c>
      <c r="FS133" s="342">
        <f t="shared" ref="FS133:FS139" si="1780">IFERROR(VLOOKUP(FK108,$D$107:$G$114,4,0),0)</f>
        <v>0</v>
      </c>
      <c r="FT133" s="343"/>
      <c r="FV133" s="147"/>
      <c r="FW133" s="147"/>
      <c r="FX133" s="344">
        <f>IFERROR(VLOOKUP(FV122,$B$121:$F$122,5,0),0)</f>
        <v>0</v>
      </c>
      <c r="FY133" s="344">
        <f>IFERROR(VLOOKUP(FV122,$D$121:$G$122,4,0),0)</f>
        <v>0</v>
      </c>
      <c r="FZ133" s="344">
        <f>IFERROR(VLOOKUP(FX122,$B$121:$F$122,5,0),0)</f>
        <v>0</v>
      </c>
      <c r="GA133" s="344">
        <f>IFERROR(VLOOKUP(FX122,$D$121:$G$122,4,0),0)</f>
        <v>0</v>
      </c>
      <c r="GB133" s="342">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2">
        <f t="shared" ref="GC133:GC139" si="1782">IFERROR(VLOOKUP(FV108,$B$107:$F$114,5,0),0)</f>
        <v>0</v>
      </c>
      <c r="GD133" s="342">
        <f t="shared" ref="GD133:GD139" si="1783">IFERROR(VLOOKUP(FX108,$B$107:$F$114,5,0),0)</f>
        <v>0</v>
      </c>
      <c r="GE133" s="342">
        <f t="shared" ref="GE133:GE139" si="1784">IFERROR(VLOOKUP(FV108,$D$107:$G$114,4,0),0)</f>
        <v>0</v>
      </c>
      <c r="GF133" s="342">
        <f t="shared" ref="GF133:GF139" si="1785">IFERROR(VLOOKUP(FX108,$D$107:$G$114,4,0),0)</f>
        <v>0</v>
      </c>
      <c r="GG133" s="343"/>
      <c r="GI133" s="147"/>
      <c r="GJ133" s="147"/>
      <c r="GK133" s="344">
        <f>IFERROR(VLOOKUP(GI122,$B$121:$F$122,5,0),0)</f>
        <v>0</v>
      </c>
      <c r="GL133" s="344">
        <f>IFERROR(VLOOKUP(GI122,$D$121:$G$122,4,0),0)</f>
        <v>0</v>
      </c>
      <c r="GM133" s="344">
        <f>IFERROR(VLOOKUP(GK122,$B$121:$F$122,5,0),0)</f>
        <v>0</v>
      </c>
      <c r="GN133" s="344">
        <f>IFERROR(VLOOKUP(GK122,$D$121:$G$122,4,0),0)</f>
        <v>0</v>
      </c>
      <c r="GO133" s="342">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2">
        <f t="shared" ref="GP133:GP139" si="1787">IFERROR(VLOOKUP(GI108,$B$107:$F$114,5,0),0)</f>
        <v>0</v>
      </c>
      <c r="GQ133" s="342">
        <f t="shared" ref="GQ133:GQ139" si="1788">IFERROR(VLOOKUP(GK108,$B$107:$F$114,5,0),0)</f>
        <v>0</v>
      </c>
      <c r="GR133" s="342">
        <f t="shared" ref="GR133:GR139" si="1789">IFERROR(VLOOKUP(GI108,$D$107:$G$114,4,0),0)</f>
        <v>0</v>
      </c>
      <c r="GS133" s="342">
        <f t="shared" ref="GS133:GS139" si="1790">IFERROR(VLOOKUP(GK108,$D$107:$G$114,4,0),0)</f>
        <v>0</v>
      </c>
      <c r="GT133" s="343"/>
      <c r="GV133" s="147"/>
      <c r="GW133" s="147"/>
      <c r="GX133" s="344">
        <f>IFERROR(VLOOKUP(GV122,$B$121:$F$122,5,0),0)</f>
        <v>0</v>
      </c>
      <c r="GY133" s="344">
        <f>IFERROR(VLOOKUP(GV122,$D$121:$G$122,4,0),0)</f>
        <v>0</v>
      </c>
      <c r="GZ133" s="344">
        <f>IFERROR(VLOOKUP(GX122,$B$121:$F$122,5,0),0)</f>
        <v>0</v>
      </c>
      <c r="HA133" s="344">
        <f>IFERROR(VLOOKUP(GX122,$D$121:$G$122,4,0),0)</f>
        <v>0</v>
      </c>
      <c r="HB133" s="342">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2">
        <f t="shared" ref="HC133:HC139" si="1792">IFERROR(VLOOKUP(GV108,$B$107:$F$114,5,0),0)</f>
        <v>0</v>
      </c>
      <c r="HD133" s="342">
        <f t="shared" ref="HD133:HD139" si="1793">IFERROR(VLOOKUP(GX108,$B$107:$F$114,5,0),0)</f>
        <v>0</v>
      </c>
      <c r="HE133" s="342">
        <f t="shared" ref="HE133:HE139" si="1794">IFERROR(VLOOKUP(GV108,$D$107:$G$114,4,0),0)</f>
        <v>0</v>
      </c>
      <c r="HF133" s="342">
        <f t="shared" ref="HF133:HF139" si="1795">IFERROR(VLOOKUP(GX108,$D$107:$G$114,4,0),0)</f>
        <v>0</v>
      </c>
      <c r="HG133" s="343"/>
      <c r="HI133" s="147"/>
      <c r="HJ133" s="147"/>
      <c r="HK133" s="344">
        <f>IFERROR(VLOOKUP(HI122,$B$121:$F$122,5,0),0)</f>
        <v>0</v>
      </c>
      <c r="HL133" s="344">
        <f>IFERROR(VLOOKUP(HI122,$D$121:$G$122,4,0),0)</f>
        <v>0</v>
      </c>
      <c r="HM133" s="344">
        <f>IFERROR(VLOOKUP(HK122,$B$121:$F$122,5,0),0)</f>
        <v>0</v>
      </c>
      <c r="HN133" s="344">
        <f>IFERROR(VLOOKUP(HK122,$D$121:$G$122,4,0),0)</f>
        <v>0</v>
      </c>
      <c r="HO133" s="342">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2">
        <f t="shared" ref="HP133:HP139" si="1797">IFERROR(VLOOKUP(HI108,$B$107:$F$114,5,0),0)</f>
        <v>0</v>
      </c>
      <c r="HQ133" s="342">
        <f t="shared" ref="HQ133:HQ139" si="1798">IFERROR(VLOOKUP(HK108,$B$107:$F$114,5,0),0)</f>
        <v>0</v>
      </c>
      <c r="HR133" s="342">
        <f t="shared" ref="HR133:HR139" si="1799">IFERROR(VLOOKUP(HI108,$D$107:$G$114,4,0),0)</f>
        <v>0</v>
      </c>
      <c r="HS133" s="342">
        <f t="shared" ref="HS133:HS139" si="1800">IFERROR(VLOOKUP(HK108,$D$107:$G$114,4,0),0)</f>
        <v>0</v>
      </c>
      <c r="HT133" s="343"/>
      <c r="HV133" s="147"/>
      <c r="HW133" s="147"/>
      <c r="HX133" s="344">
        <f>IFERROR(VLOOKUP(HV122,$B$121:$F$122,5,0),0)</f>
        <v>0</v>
      </c>
      <c r="HY133" s="344">
        <f>IFERROR(VLOOKUP(HV122,$D$121:$G$122,4,0),0)</f>
        <v>0</v>
      </c>
      <c r="HZ133" s="344">
        <f>IFERROR(VLOOKUP(HX122,$B$121:$F$122,5,0),0)</f>
        <v>0</v>
      </c>
      <c r="IA133" s="344">
        <f>IFERROR(VLOOKUP(HX122,$D$121:$G$122,4,0),0)</f>
        <v>0</v>
      </c>
      <c r="IB133" s="342">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2">
        <f t="shared" ref="IC133:IC139" si="1802">IFERROR(VLOOKUP(HV108,$B$107:$F$114,5,0),0)</f>
        <v>0</v>
      </c>
      <c r="ID133" s="342">
        <f t="shared" ref="ID133:ID139" si="1803">IFERROR(VLOOKUP(HX108,$B$107:$F$114,5,0),0)</f>
        <v>0</v>
      </c>
      <c r="IE133" s="342">
        <f t="shared" ref="IE133:IE139" si="1804">IFERROR(VLOOKUP(HV108,$D$107:$G$114,4,0),0)</f>
        <v>0</v>
      </c>
      <c r="IF133" s="342">
        <f t="shared" ref="IF133:IF139" si="1805">IFERROR(VLOOKUP(HX108,$D$107:$G$114,4,0),0)</f>
        <v>0</v>
      </c>
      <c r="IG133" s="343"/>
      <c r="II133" s="147"/>
      <c r="IJ133" s="147"/>
      <c r="IK133" s="344">
        <f>IFERROR(VLOOKUP(II122,$B$121:$F$122,5,0),0)</f>
        <v>0</v>
      </c>
      <c r="IL133" s="344">
        <f>IFERROR(VLOOKUP(II122,$D$121:$G$122,4,0),0)</f>
        <v>0</v>
      </c>
      <c r="IM133" s="344">
        <f>IFERROR(VLOOKUP(IK122,$B$121:$F$122,5,0),0)</f>
        <v>0</v>
      </c>
      <c r="IN133" s="344">
        <f>IFERROR(VLOOKUP(IK122,$D$121:$G$122,4,0),0)</f>
        <v>0</v>
      </c>
      <c r="IO133" s="342">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2">
        <f t="shared" ref="IP133:IP139" si="1807">IFERROR(VLOOKUP(II108,$B$107:$F$114,5,0),0)</f>
        <v>0</v>
      </c>
      <c r="IQ133" s="342">
        <f t="shared" ref="IQ133:IQ139" si="1808">IFERROR(VLOOKUP(IK108,$B$107:$F$114,5,0),0)</f>
        <v>0</v>
      </c>
      <c r="IR133" s="342">
        <f t="shared" ref="IR133:IR139" si="1809">IFERROR(VLOOKUP(II108,$D$107:$G$114,4,0),0)</f>
        <v>0</v>
      </c>
      <c r="IS133" s="342">
        <f t="shared" ref="IS133:IS139" si="1810">IFERROR(VLOOKUP(IK108,$D$107:$G$114,4,0),0)</f>
        <v>0</v>
      </c>
      <c r="IT133" s="343"/>
      <c r="IV133" s="147"/>
      <c r="IW133" s="147"/>
      <c r="IX133" s="344">
        <f>IFERROR(VLOOKUP(IV122,$B$121:$F$122,5,0),0)</f>
        <v>0</v>
      </c>
      <c r="IY133" s="344">
        <f>IFERROR(VLOOKUP(IV122,$D$121:$G$122,4,0),0)</f>
        <v>0</v>
      </c>
      <c r="IZ133" s="344">
        <f>IFERROR(VLOOKUP(IX122,$B$121:$F$122,5,0),0)</f>
        <v>0</v>
      </c>
      <c r="JA133" s="344">
        <f>IFERROR(VLOOKUP(IX122,$D$121:$G$122,4,0),0)</f>
        <v>0</v>
      </c>
      <c r="JB133" s="342">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2">
        <f t="shared" ref="JC133:JC139" si="1812">IFERROR(VLOOKUP(IV108,$B$107:$F$114,5,0),0)</f>
        <v>0</v>
      </c>
      <c r="JD133" s="342">
        <f t="shared" ref="JD133:JD139" si="1813">IFERROR(VLOOKUP(IX108,$B$107:$F$114,5,0),0)</f>
        <v>0</v>
      </c>
      <c r="JE133" s="342">
        <f t="shared" ref="JE133:JE139" si="1814">IFERROR(VLOOKUP(IV108,$D$107:$G$114,4,0),0)</f>
        <v>0</v>
      </c>
      <c r="JF133" s="342">
        <f t="shared" ref="JF133:JF139" si="1815">IFERROR(VLOOKUP(IX108,$D$107:$G$114,4,0),0)</f>
        <v>0</v>
      </c>
      <c r="JG133" s="343"/>
      <c r="JI133" s="147"/>
      <c r="JJ133" s="147"/>
      <c r="JK133" s="344">
        <f>IFERROR(VLOOKUP(JI122,$B$121:$F$122,5,0),0)</f>
        <v>0</v>
      </c>
      <c r="JL133" s="344">
        <f>IFERROR(VLOOKUP(JI122,$D$121:$G$122,4,0),0)</f>
        <v>0</v>
      </c>
      <c r="JM133" s="344">
        <f>IFERROR(VLOOKUP(JK122,$B$121:$F$122,5,0),0)</f>
        <v>0</v>
      </c>
      <c r="JN133" s="344">
        <f>IFERROR(VLOOKUP(JK122,$D$121:$G$122,4,0),0)</f>
        <v>0</v>
      </c>
      <c r="JO133" s="342">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2">
        <f t="shared" ref="JP133:JP139" si="1817">IFERROR(VLOOKUP(JI108,$B$107:$F$114,5,0),0)</f>
        <v>0</v>
      </c>
      <c r="JQ133" s="342">
        <f t="shared" ref="JQ133:JQ139" si="1818">IFERROR(VLOOKUP(JK108,$B$107:$F$114,5,0),0)</f>
        <v>0</v>
      </c>
      <c r="JR133" s="342">
        <f t="shared" ref="JR133:JR139" si="1819">IFERROR(VLOOKUP(JI108,$D$107:$G$114,4,0),0)</f>
        <v>0</v>
      </c>
      <c r="JS133" s="342">
        <f t="shared" ref="JS133:JS139" si="1820">IFERROR(VLOOKUP(JK108,$D$107:$G$114,4,0),0)</f>
        <v>0</v>
      </c>
      <c r="JT133" s="343"/>
      <c r="JV133" s="147"/>
      <c r="JW133" s="147"/>
      <c r="JX133" s="344">
        <f>IFERROR(VLOOKUP(JV122,$B$121:$F$122,5,0),0)</f>
        <v>0</v>
      </c>
      <c r="JY133" s="344">
        <f>IFERROR(VLOOKUP(JV122,$D$121:$G$122,4,0),0)</f>
        <v>0</v>
      </c>
      <c r="JZ133" s="344">
        <f>IFERROR(VLOOKUP(JX122,$B$121:$F$122,5,0),0)</f>
        <v>0</v>
      </c>
      <c r="KA133" s="344">
        <f>IFERROR(VLOOKUP(JX122,$D$121:$G$122,4,0),0)</f>
        <v>0</v>
      </c>
      <c r="KB133" s="342">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2">
        <f t="shared" ref="KC133:KC139" si="1822">IFERROR(VLOOKUP(JV108,$B$107:$F$114,5,0),0)</f>
        <v>0</v>
      </c>
      <c r="KD133" s="342">
        <f t="shared" ref="KD133:KD139" si="1823">IFERROR(VLOOKUP(JX108,$B$107:$F$114,5,0),0)</f>
        <v>0</v>
      </c>
      <c r="KE133" s="342">
        <f t="shared" ref="KE133:KE139" si="1824">IFERROR(VLOOKUP(JV108,$D$107:$G$114,4,0),0)</f>
        <v>0</v>
      </c>
      <c r="KF133" s="342">
        <f t="shared" ref="KF133:KF139" si="1825">IFERROR(VLOOKUP(JX108,$D$107:$G$114,4,0),0)</f>
        <v>0</v>
      </c>
      <c r="KG133" s="343"/>
      <c r="KI133" s="147"/>
      <c r="KJ133" s="147"/>
      <c r="KK133" s="344">
        <f>IFERROR(VLOOKUP(KI122,$B$121:$F$122,5,0),0)</f>
        <v>0</v>
      </c>
      <c r="KL133" s="344">
        <f>IFERROR(VLOOKUP(KI122,$D$121:$G$122,4,0),0)</f>
        <v>0</v>
      </c>
      <c r="KM133" s="344">
        <f>IFERROR(VLOOKUP(KK122,$B$121:$F$122,5,0),0)</f>
        <v>0</v>
      </c>
      <c r="KN133" s="344">
        <f>IFERROR(VLOOKUP(KK122,$D$121:$G$122,4,0),0)</f>
        <v>0</v>
      </c>
      <c r="KO133" s="342">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2">
        <f t="shared" ref="KP133:KP139" si="1827">IFERROR(VLOOKUP(KI108,$B$107:$F$114,5,0),0)</f>
        <v>0</v>
      </c>
      <c r="KQ133" s="342">
        <f t="shared" ref="KQ133:KQ139" si="1828">IFERROR(VLOOKUP(KK108,$B$107:$F$114,5,0),0)</f>
        <v>0</v>
      </c>
      <c r="KR133" s="342">
        <f t="shared" ref="KR133:KR139" si="1829">IFERROR(VLOOKUP(KI108,$D$107:$G$114,4,0),0)</f>
        <v>0</v>
      </c>
      <c r="KS133" s="342">
        <f t="shared" ref="KS133:KS139" si="1830">IFERROR(VLOOKUP(KK108,$D$107:$G$114,4,0),0)</f>
        <v>0</v>
      </c>
      <c r="KT133" s="343"/>
      <c r="KV133" s="147"/>
      <c r="KW133" s="147"/>
      <c r="KX133" s="344">
        <f>IFERROR(VLOOKUP(KV122,$B$121:$F$122,5,0),0)</f>
        <v>0</v>
      </c>
      <c r="KY133" s="344">
        <f>IFERROR(VLOOKUP(KV122,$D$121:$G$122,4,0),0)</f>
        <v>0</v>
      </c>
      <c r="KZ133" s="344">
        <f>IFERROR(VLOOKUP(KX122,$B$121:$F$122,5,0),0)</f>
        <v>0</v>
      </c>
      <c r="LA133" s="344">
        <f>IFERROR(VLOOKUP(KX122,$D$121:$G$122,4,0),0)</f>
        <v>0</v>
      </c>
      <c r="LB133" s="342">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2">
        <f t="shared" ref="LC133:LC139" si="1832">IFERROR(VLOOKUP(KV108,$B$107:$F$114,5,0),0)</f>
        <v>0</v>
      </c>
      <c r="LD133" s="342">
        <f t="shared" ref="LD133:LD139" si="1833">IFERROR(VLOOKUP(KX108,$B$107:$F$114,5,0),0)</f>
        <v>0</v>
      </c>
      <c r="LE133" s="342">
        <f t="shared" ref="LE133:LE139" si="1834">IFERROR(VLOOKUP(KV108,$D$107:$G$114,4,0),0)</f>
        <v>0</v>
      </c>
      <c r="LF133" s="342">
        <f t="shared" ref="LF133:LF139" si="1835">IFERROR(VLOOKUP(KX108,$D$107:$G$114,4,0),0)</f>
        <v>0</v>
      </c>
      <c r="LG133" s="343"/>
      <c r="LI133" s="147"/>
      <c r="LJ133" s="147"/>
      <c r="LK133" s="344">
        <f>IFERROR(VLOOKUP(LI122,$B$121:$F$122,5,0),0)</f>
        <v>0</v>
      </c>
      <c r="LL133" s="344">
        <f>IFERROR(VLOOKUP(LI122,$D$121:$G$122,4,0),0)</f>
        <v>0</v>
      </c>
      <c r="LM133" s="344">
        <f>IFERROR(VLOOKUP(LK122,$B$121:$F$122,5,0),0)</f>
        <v>0</v>
      </c>
      <c r="LN133" s="344">
        <f>IFERROR(VLOOKUP(LK122,$D$121:$G$122,4,0),0)</f>
        <v>0</v>
      </c>
      <c r="LO133" s="342">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2">
        <f t="shared" ref="LP133:LP139" si="1837">IFERROR(VLOOKUP(LI108,$B$107:$F$114,5,0),0)</f>
        <v>0</v>
      </c>
      <c r="LQ133" s="342">
        <f t="shared" ref="LQ133:LQ139" si="1838">IFERROR(VLOOKUP(LK108,$B$107:$F$114,5,0),0)</f>
        <v>0</v>
      </c>
      <c r="LR133" s="342">
        <f t="shared" ref="LR133:LR139" si="1839">IFERROR(VLOOKUP(LI108,$D$107:$G$114,4,0),0)</f>
        <v>0</v>
      </c>
      <c r="LS133" s="342">
        <f t="shared" ref="LS133:LS139" si="1840">IFERROR(VLOOKUP(LK108,$D$107:$G$114,4,0),0)</f>
        <v>0</v>
      </c>
      <c r="LT133" s="343"/>
      <c r="LV133" s="147"/>
      <c r="LW133" s="147"/>
      <c r="LX133" s="344">
        <f>IFERROR(VLOOKUP(LV122,$B$121:$F$122,5,0),0)</f>
        <v>0</v>
      </c>
      <c r="LY133" s="344">
        <f>IFERROR(VLOOKUP(LV122,$D$121:$G$122,4,0),0)</f>
        <v>0</v>
      </c>
      <c r="LZ133" s="344">
        <f>IFERROR(VLOOKUP(LX122,$B$121:$F$122,5,0),0)</f>
        <v>0</v>
      </c>
      <c r="MA133" s="344">
        <f>IFERROR(VLOOKUP(LX122,$D$121:$G$122,4,0),0)</f>
        <v>0</v>
      </c>
      <c r="MB133" s="342">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2">
        <f t="shared" ref="MC133:MC139" si="1842">IFERROR(VLOOKUP(LV108,$B$107:$F$114,5,0),0)</f>
        <v>0</v>
      </c>
      <c r="MD133" s="342">
        <f t="shared" ref="MD133:MD139" si="1843">IFERROR(VLOOKUP(LX108,$B$107:$F$114,5,0),0)</f>
        <v>0</v>
      </c>
      <c r="ME133" s="342">
        <f t="shared" ref="ME133:ME139" si="1844">IFERROR(VLOOKUP(LV108,$D$107:$G$114,4,0),0)</f>
        <v>0</v>
      </c>
      <c r="MF133" s="342">
        <f t="shared" ref="MF133:MF139" si="1845">IFERROR(VLOOKUP(LX108,$D$107:$G$114,4,0),0)</f>
        <v>0</v>
      </c>
      <c r="MG133" s="343"/>
    </row>
    <row r="134" spans="2:345">
      <c r="B134" s="849"/>
      <c r="C134" s="850"/>
      <c r="D134" s="850"/>
      <c r="E134" s="850"/>
      <c r="F134" s="850"/>
      <c r="G134" s="850"/>
      <c r="H134" s="851"/>
      <c r="I134" s="293"/>
      <c r="J134" s="147"/>
      <c r="K134" s="147"/>
      <c r="L134" s="344"/>
      <c r="M134" s="342"/>
      <c r="N134" s="342"/>
      <c r="O134" s="342">
        <f t="shared" si="1716"/>
        <v>1</v>
      </c>
      <c r="P134" s="342">
        <f t="shared" si="1717"/>
        <v>0</v>
      </c>
      <c r="Q134" s="342">
        <f t="shared" si="1718"/>
        <v>0</v>
      </c>
      <c r="R134" s="342">
        <f t="shared" si="1719"/>
        <v>0</v>
      </c>
      <c r="S134" s="342">
        <f t="shared" si="1720"/>
        <v>0</v>
      </c>
      <c r="T134" s="343"/>
      <c r="V134" s="147"/>
      <c r="W134" s="147"/>
      <c r="X134" s="147"/>
      <c r="Y134" s="344"/>
      <c r="Z134" s="342"/>
      <c r="AA134" s="342"/>
      <c r="AB134" s="342">
        <f t="shared" si="1721"/>
        <v>1</v>
      </c>
      <c r="AC134" s="342">
        <f t="shared" si="1722"/>
        <v>0</v>
      </c>
      <c r="AD134" s="342">
        <f t="shared" si="1723"/>
        <v>0</v>
      </c>
      <c r="AE134" s="342">
        <f t="shared" si="1724"/>
        <v>0</v>
      </c>
      <c r="AF134" s="342">
        <f t="shared" si="1725"/>
        <v>0</v>
      </c>
      <c r="AG134" s="343"/>
      <c r="AI134" s="147"/>
      <c r="AJ134" s="147"/>
      <c r="AK134" s="147"/>
      <c r="AL134" s="344"/>
      <c r="AM134" s="342"/>
      <c r="AN134" s="342"/>
      <c r="AO134" s="342">
        <f t="shared" si="1726"/>
        <v>1</v>
      </c>
      <c r="AP134" s="342">
        <f t="shared" si="1727"/>
        <v>0</v>
      </c>
      <c r="AQ134" s="342">
        <f t="shared" si="1728"/>
        <v>0</v>
      </c>
      <c r="AR134" s="342">
        <f t="shared" si="1729"/>
        <v>0</v>
      </c>
      <c r="AS134" s="342">
        <f t="shared" si="1730"/>
        <v>0</v>
      </c>
      <c r="AT134" s="343"/>
      <c r="AV134" s="147"/>
      <c r="AW134" s="147"/>
      <c r="AX134" s="147"/>
      <c r="AY134" s="344"/>
      <c r="AZ134" s="342"/>
      <c r="BA134" s="342"/>
      <c r="BB134" s="342">
        <f t="shared" si="1731"/>
        <v>1</v>
      </c>
      <c r="BC134" s="342">
        <f t="shared" si="1732"/>
        <v>0</v>
      </c>
      <c r="BD134" s="342">
        <f t="shared" si="1733"/>
        <v>0</v>
      </c>
      <c r="BE134" s="342">
        <f t="shared" si="1734"/>
        <v>0</v>
      </c>
      <c r="BF134" s="342">
        <f t="shared" si="1735"/>
        <v>0</v>
      </c>
      <c r="BG134" s="343"/>
      <c r="BI134" s="147"/>
      <c r="BJ134" s="147"/>
      <c r="BK134" s="147"/>
      <c r="BL134" s="344"/>
      <c r="BM134" s="342"/>
      <c r="BN134" s="342"/>
      <c r="BO134" s="342">
        <f t="shared" si="1736"/>
        <v>1</v>
      </c>
      <c r="BP134" s="342">
        <f t="shared" si="1737"/>
        <v>0</v>
      </c>
      <c r="BQ134" s="342">
        <f t="shared" si="1738"/>
        <v>0</v>
      </c>
      <c r="BR134" s="342">
        <f t="shared" si="1739"/>
        <v>0</v>
      </c>
      <c r="BS134" s="342">
        <f t="shared" si="1740"/>
        <v>0</v>
      </c>
      <c r="BT134" s="343"/>
      <c r="BV134" s="147"/>
      <c r="BW134" s="147"/>
      <c r="BX134" s="147"/>
      <c r="BY134" s="344"/>
      <c r="BZ134" s="342"/>
      <c r="CA134" s="342"/>
      <c r="CB134" s="342">
        <f t="shared" si="1741"/>
        <v>1</v>
      </c>
      <c r="CC134" s="342">
        <f t="shared" si="1742"/>
        <v>0</v>
      </c>
      <c r="CD134" s="342">
        <f t="shared" si="1743"/>
        <v>0</v>
      </c>
      <c r="CE134" s="342">
        <f t="shared" si="1744"/>
        <v>0</v>
      </c>
      <c r="CF134" s="342">
        <f t="shared" si="1745"/>
        <v>0</v>
      </c>
      <c r="CG134" s="343"/>
      <c r="CI134" s="147"/>
      <c r="CJ134" s="147"/>
      <c r="CK134" s="147"/>
      <c r="CL134" s="344"/>
      <c r="CM134" s="342"/>
      <c r="CN134" s="342"/>
      <c r="CO134" s="342">
        <f t="shared" si="1746"/>
        <v>1</v>
      </c>
      <c r="CP134" s="342">
        <f t="shared" si="1747"/>
        <v>0</v>
      </c>
      <c r="CQ134" s="342">
        <f t="shared" si="1748"/>
        <v>0</v>
      </c>
      <c r="CR134" s="342">
        <f t="shared" si="1749"/>
        <v>0</v>
      </c>
      <c r="CS134" s="342">
        <f t="shared" si="1750"/>
        <v>0</v>
      </c>
      <c r="CT134" s="343"/>
      <c r="CV134" s="147"/>
      <c r="CW134" s="147"/>
      <c r="CX134" s="147"/>
      <c r="CY134" s="344"/>
      <c r="CZ134" s="342"/>
      <c r="DA134" s="342"/>
      <c r="DB134" s="342">
        <f t="shared" si="1751"/>
        <v>1</v>
      </c>
      <c r="DC134" s="342">
        <f t="shared" si="1752"/>
        <v>0</v>
      </c>
      <c r="DD134" s="342">
        <f t="shared" si="1753"/>
        <v>0</v>
      </c>
      <c r="DE134" s="342">
        <f t="shared" si="1754"/>
        <v>0</v>
      </c>
      <c r="DF134" s="342">
        <f t="shared" si="1755"/>
        <v>0</v>
      </c>
      <c r="DG134" s="343"/>
      <c r="DI134" s="147"/>
      <c r="DJ134" s="147"/>
      <c r="DK134" s="147"/>
      <c r="DL134" s="344"/>
      <c r="DM134" s="342"/>
      <c r="DN134" s="342"/>
      <c r="DO134" s="342">
        <f t="shared" si="1756"/>
        <v>1</v>
      </c>
      <c r="DP134" s="342">
        <f t="shared" si="1757"/>
        <v>0</v>
      </c>
      <c r="DQ134" s="342">
        <f t="shared" si="1758"/>
        <v>0</v>
      </c>
      <c r="DR134" s="342">
        <f t="shared" si="1759"/>
        <v>0</v>
      </c>
      <c r="DS134" s="342">
        <f t="shared" si="1760"/>
        <v>0</v>
      </c>
      <c r="DT134" s="343"/>
      <c r="DV134" s="147"/>
      <c r="DW134" s="147"/>
      <c r="DX134" s="147"/>
      <c r="DY134" s="344"/>
      <c r="DZ134" s="342"/>
      <c r="EA134" s="342"/>
      <c r="EB134" s="342">
        <f t="shared" si="1761"/>
        <v>1</v>
      </c>
      <c r="EC134" s="342">
        <f t="shared" si="1762"/>
        <v>0</v>
      </c>
      <c r="ED134" s="342">
        <f t="shared" si="1763"/>
        <v>0</v>
      </c>
      <c r="EE134" s="342">
        <f t="shared" si="1764"/>
        <v>0</v>
      </c>
      <c r="EF134" s="342">
        <f t="shared" si="1765"/>
        <v>0</v>
      </c>
      <c r="EG134" s="343"/>
      <c r="EI134" s="147"/>
      <c r="EJ134" s="147"/>
      <c r="EK134" s="147"/>
      <c r="EL134" s="344"/>
      <c r="EM134" s="342"/>
      <c r="EN134" s="342"/>
      <c r="EO134" s="342">
        <f t="shared" si="1766"/>
        <v>1</v>
      </c>
      <c r="EP134" s="342">
        <f t="shared" si="1767"/>
        <v>0</v>
      </c>
      <c r="EQ134" s="342">
        <f t="shared" si="1768"/>
        <v>0</v>
      </c>
      <c r="ER134" s="342">
        <f t="shared" si="1769"/>
        <v>0</v>
      </c>
      <c r="ES134" s="342">
        <f t="shared" si="1770"/>
        <v>0</v>
      </c>
      <c r="ET134" s="343"/>
      <c r="EV134" s="147"/>
      <c r="EW134" s="147"/>
      <c r="EX134" s="147"/>
      <c r="EY134" s="344"/>
      <c r="EZ134" s="342"/>
      <c r="FA134" s="342"/>
      <c r="FB134" s="342">
        <f t="shared" si="1771"/>
        <v>1</v>
      </c>
      <c r="FC134" s="342">
        <f t="shared" si="1772"/>
        <v>0</v>
      </c>
      <c r="FD134" s="342">
        <f t="shared" si="1773"/>
        <v>0</v>
      </c>
      <c r="FE134" s="342">
        <f t="shared" si="1774"/>
        <v>0</v>
      </c>
      <c r="FF134" s="342">
        <f t="shared" si="1775"/>
        <v>0</v>
      </c>
      <c r="FG134" s="343"/>
      <c r="FI134" s="147"/>
      <c r="FJ134" s="147"/>
      <c r="FK134" s="147"/>
      <c r="FL134" s="344"/>
      <c r="FM134" s="342"/>
      <c r="FN134" s="342"/>
      <c r="FO134" s="342">
        <f t="shared" si="1776"/>
        <v>1</v>
      </c>
      <c r="FP134" s="342">
        <f t="shared" si="1777"/>
        <v>0</v>
      </c>
      <c r="FQ134" s="342">
        <f t="shared" si="1778"/>
        <v>0</v>
      </c>
      <c r="FR134" s="342">
        <f t="shared" si="1779"/>
        <v>0</v>
      </c>
      <c r="FS134" s="342">
        <f t="shared" si="1780"/>
        <v>0</v>
      </c>
      <c r="FT134" s="343"/>
      <c r="FV134" s="147"/>
      <c r="FW134" s="147"/>
      <c r="FX134" s="147"/>
      <c r="FY134" s="344"/>
      <c r="FZ134" s="342"/>
      <c r="GA134" s="342"/>
      <c r="GB134" s="342">
        <f t="shared" si="1781"/>
        <v>1</v>
      </c>
      <c r="GC134" s="342">
        <f t="shared" si="1782"/>
        <v>0</v>
      </c>
      <c r="GD134" s="342">
        <f t="shared" si="1783"/>
        <v>0</v>
      </c>
      <c r="GE134" s="342">
        <f t="shared" si="1784"/>
        <v>0</v>
      </c>
      <c r="GF134" s="342">
        <f t="shared" si="1785"/>
        <v>0</v>
      </c>
      <c r="GG134" s="343"/>
      <c r="GI134" s="147"/>
      <c r="GJ134" s="147"/>
      <c r="GK134" s="147"/>
      <c r="GL134" s="344"/>
      <c r="GM134" s="342"/>
      <c r="GN134" s="342"/>
      <c r="GO134" s="342">
        <f t="shared" si="1786"/>
        <v>1</v>
      </c>
      <c r="GP134" s="342">
        <f t="shared" si="1787"/>
        <v>0</v>
      </c>
      <c r="GQ134" s="342">
        <f t="shared" si="1788"/>
        <v>0</v>
      </c>
      <c r="GR134" s="342">
        <f t="shared" si="1789"/>
        <v>0</v>
      </c>
      <c r="GS134" s="342">
        <f t="shared" si="1790"/>
        <v>0</v>
      </c>
      <c r="GT134" s="343"/>
      <c r="GV134" s="147"/>
      <c r="GW134" s="147"/>
      <c r="GX134" s="147"/>
      <c r="GY134" s="344"/>
      <c r="GZ134" s="342"/>
      <c r="HA134" s="342"/>
      <c r="HB134" s="342">
        <f t="shared" si="1791"/>
        <v>1</v>
      </c>
      <c r="HC134" s="342">
        <f t="shared" si="1792"/>
        <v>0</v>
      </c>
      <c r="HD134" s="342">
        <f t="shared" si="1793"/>
        <v>0</v>
      </c>
      <c r="HE134" s="342">
        <f t="shared" si="1794"/>
        <v>0</v>
      </c>
      <c r="HF134" s="342">
        <f t="shared" si="1795"/>
        <v>0</v>
      </c>
      <c r="HG134" s="343"/>
      <c r="HI134" s="147"/>
      <c r="HJ134" s="147"/>
      <c r="HK134" s="147"/>
      <c r="HL134" s="344"/>
      <c r="HM134" s="342"/>
      <c r="HN134" s="342"/>
      <c r="HO134" s="342">
        <f t="shared" si="1796"/>
        <v>1</v>
      </c>
      <c r="HP134" s="342">
        <f t="shared" si="1797"/>
        <v>0</v>
      </c>
      <c r="HQ134" s="342">
        <f t="shared" si="1798"/>
        <v>0</v>
      </c>
      <c r="HR134" s="342">
        <f t="shared" si="1799"/>
        <v>0</v>
      </c>
      <c r="HS134" s="342">
        <f t="shared" si="1800"/>
        <v>0</v>
      </c>
      <c r="HT134" s="343"/>
      <c r="HV134" s="147"/>
      <c r="HW134" s="147"/>
      <c r="HX134" s="147"/>
      <c r="HY134" s="344"/>
      <c r="HZ134" s="342"/>
      <c r="IA134" s="342"/>
      <c r="IB134" s="342">
        <f t="shared" si="1801"/>
        <v>1</v>
      </c>
      <c r="IC134" s="342">
        <f t="shared" si="1802"/>
        <v>0</v>
      </c>
      <c r="ID134" s="342">
        <f t="shared" si="1803"/>
        <v>0</v>
      </c>
      <c r="IE134" s="342">
        <f t="shared" si="1804"/>
        <v>0</v>
      </c>
      <c r="IF134" s="342">
        <f t="shared" si="1805"/>
        <v>0</v>
      </c>
      <c r="IG134" s="343"/>
      <c r="II134" s="147"/>
      <c r="IJ134" s="147"/>
      <c r="IK134" s="147"/>
      <c r="IL134" s="344"/>
      <c r="IM134" s="342"/>
      <c r="IN134" s="342"/>
      <c r="IO134" s="342">
        <f t="shared" si="1806"/>
        <v>1</v>
      </c>
      <c r="IP134" s="342">
        <f t="shared" si="1807"/>
        <v>0</v>
      </c>
      <c r="IQ134" s="342">
        <f t="shared" si="1808"/>
        <v>0</v>
      </c>
      <c r="IR134" s="342">
        <f t="shared" si="1809"/>
        <v>0</v>
      </c>
      <c r="IS134" s="342">
        <f t="shared" si="1810"/>
        <v>0</v>
      </c>
      <c r="IT134" s="343"/>
      <c r="IV134" s="147"/>
      <c r="IW134" s="147"/>
      <c r="IX134" s="147"/>
      <c r="IY134" s="344"/>
      <c r="IZ134" s="342"/>
      <c r="JA134" s="342"/>
      <c r="JB134" s="342">
        <f t="shared" si="1811"/>
        <v>1</v>
      </c>
      <c r="JC134" s="342">
        <f t="shared" si="1812"/>
        <v>0</v>
      </c>
      <c r="JD134" s="342">
        <f t="shared" si="1813"/>
        <v>0</v>
      </c>
      <c r="JE134" s="342">
        <f t="shared" si="1814"/>
        <v>0</v>
      </c>
      <c r="JF134" s="342">
        <f t="shared" si="1815"/>
        <v>0</v>
      </c>
      <c r="JG134" s="343"/>
      <c r="JI134" s="147"/>
      <c r="JJ134" s="147"/>
      <c r="JK134" s="147"/>
      <c r="JL134" s="344"/>
      <c r="JM134" s="342"/>
      <c r="JN134" s="342"/>
      <c r="JO134" s="342">
        <f t="shared" si="1816"/>
        <v>1</v>
      </c>
      <c r="JP134" s="342">
        <f t="shared" si="1817"/>
        <v>0</v>
      </c>
      <c r="JQ134" s="342">
        <f t="shared" si="1818"/>
        <v>0</v>
      </c>
      <c r="JR134" s="342">
        <f t="shared" si="1819"/>
        <v>0</v>
      </c>
      <c r="JS134" s="342">
        <f t="shared" si="1820"/>
        <v>0</v>
      </c>
      <c r="JT134" s="343"/>
      <c r="JV134" s="147"/>
      <c r="JW134" s="147"/>
      <c r="JX134" s="147"/>
      <c r="JY134" s="344"/>
      <c r="JZ134" s="342"/>
      <c r="KA134" s="342"/>
      <c r="KB134" s="342">
        <f t="shared" si="1821"/>
        <v>1</v>
      </c>
      <c r="KC134" s="342">
        <f t="shared" si="1822"/>
        <v>0</v>
      </c>
      <c r="KD134" s="342">
        <f t="shared" si="1823"/>
        <v>0</v>
      </c>
      <c r="KE134" s="342">
        <f t="shared" si="1824"/>
        <v>0</v>
      </c>
      <c r="KF134" s="342">
        <f t="shared" si="1825"/>
        <v>0</v>
      </c>
      <c r="KG134" s="343"/>
      <c r="KI134" s="147"/>
      <c r="KJ134" s="147"/>
      <c r="KK134" s="147"/>
      <c r="KL134" s="344"/>
      <c r="KM134" s="342"/>
      <c r="KN134" s="342"/>
      <c r="KO134" s="342">
        <f t="shared" si="1826"/>
        <v>1</v>
      </c>
      <c r="KP134" s="342">
        <f t="shared" si="1827"/>
        <v>0</v>
      </c>
      <c r="KQ134" s="342">
        <f t="shared" si="1828"/>
        <v>0</v>
      </c>
      <c r="KR134" s="342">
        <f t="shared" si="1829"/>
        <v>0</v>
      </c>
      <c r="KS134" s="342">
        <f t="shared" si="1830"/>
        <v>0</v>
      </c>
      <c r="KT134" s="343"/>
      <c r="KV134" s="147"/>
      <c r="KW134" s="147"/>
      <c r="KX134" s="147"/>
      <c r="KY134" s="344"/>
      <c r="KZ134" s="342"/>
      <c r="LA134" s="342"/>
      <c r="LB134" s="342">
        <f t="shared" si="1831"/>
        <v>1</v>
      </c>
      <c r="LC134" s="342">
        <f t="shared" si="1832"/>
        <v>0</v>
      </c>
      <c r="LD134" s="342">
        <f t="shared" si="1833"/>
        <v>0</v>
      </c>
      <c r="LE134" s="342">
        <f t="shared" si="1834"/>
        <v>0</v>
      </c>
      <c r="LF134" s="342">
        <f t="shared" si="1835"/>
        <v>0</v>
      </c>
      <c r="LG134" s="343"/>
      <c r="LI134" s="147"/>
      <c r="LJ134" s="147"/>
      <c r="LK134" s="147"/>
      <c r="LL134" s="344"/>
      <c r="LM134" s="342"/>
      <c r="LN134" s="342"/>
      <c r="LO134" s="342">
        <f t="shared" si="1836"/>
        <v>1</v>
      </c>
      <c r="LP134" s="342">
        <f t="shared" si="1837"/>
        <v>0</v>
      </c>
      <c r="LQ134" s="342">
        <f t="shared" si="1838"/>
        <v>0</v>
      </c>
      <c r="LR134" s="342">
        <f t="shared" si="1839"/>
        <v>0</v>
      </c>
      <c r="LS134" s="342">
        <f t="shared" si="1840"/>
        <v>0</v>
      </c>
      <c r="LT134" s="343"/>
      <c r="LV134" s="147"/>
      <c r="LW134" s="147"/>
      <c r="LX134" s="147"/>
      <c r="LY134" s="344"/>
      <c r="LZ134" s="342"/>
      <c r="MA134" s="342"/>
      <c r="MB134" s="342">
        <f t="shared" si="1841"/>
        <v>1</v>
      </c>
      <c r="MC134" s="342">
        <f t="shared" si="1842"/>
        <v>0</v>
      </c>
      <c r="MD134" s="342">
        <f t="shared" si="1843"/>
        <v>0</v>
      </c>
      <c r="ME134" s="342">
        <f t="shared" si="1844"/>
        <v>0</v>
      </c>
      <c r="MF134" s="342">
        <f t="shared" si="1845"/>
        <v>0</v>
      </c>
      <c r="MG134" s="343"/>
    </row>
    <row r="135" spans="2:345">
      <c r="B135" s="849"/>
      <c r="C135" s="850"/>
      <c r="D135" s="850"/>
      <c r="E135" s="850"/>
      <c r="F135" s="850"/>
      <c r="G135" s="850"/>
      <c r="H135" s="851"/>
      <c r="I135" s="293"/>
      <c r="J135" s="147"/>
      <c r="K135" s="147"/>
      <c r="L135" s="344"/>
      <c r="M135" s="342"/>
      <c r="N135" s="342"/>
      <c r="O135" s="342">
        <f t="shared" si="1716"/>
        <v>1</v>
      </c>
      <c r="P135" s="342">
        <f t="shared" si="1717"/>
        <v>0</v>
      </c>
      <c r="Q135" s="342">
        <f t="shared" si="1718"/>
        <v>0</v>
      </c>
      <c r="R135" s="342">
        <f t="shared" si="1719"/>
        <v>0</v>
      </c>
      <c r="S135" s="342">
        <f t="shared" si="1720"/>
        <v>0</v>
      </c>
      <c r="T135" s="343"/>
      <c r="V135" s="147"/>
      <c r="W135" s="147"/>
      <c r="X135" s="147"/>
      <c r="Y135" s="344"/>
      <c r="Z135" s="342"/>
      <c r="AA135" s="342"/>
      <c r="AB135" s="342">
        <f t="shared" si="1721"/>
        <v>1</v>
      </c>
      <c r="AC135" s="342">
        <f t="shared" si="1722"/>
        <v>0</v>
      </c>
      <c r="AD135" s="342">
        <f t="shared" si="1723"/>
        <v>0</v>
      </c>
      <c r="AE135" s="342">
        <f t="shared" si="1724"/>
        <v>0</v>
      </c>
      <c r="AF135" s="342">
        <f t="shared" si="1725"/>
        <v>0</v>
      </c>
      <c r="AG135" s="343"/>
      <c r="AI135" s="147"/>
      <c r="AJ135" s="147"/>
      <c r="AK135" s="147"/>
      <c r="AL135" s="344"/>
      <c r="AM135" s="342"/>
      <c r="AN135" s="342"/>
      <c r="AO135" s="342">
        <f t="shared" si="1726"/>
        <v>1</v>
      </c>
      <c r="AP135" s="342">
        <f t="shared" si="1727"/>
        <v>0</v>
      </c>
      <c r="AQ135" s="342">
        <f t="shared" si="1728"/>
        <v>0</v>
      </c>
      <c r="AR135" s="342">
        <f t="shared" si="1729"/>
        <v>0</v>
      </c>
      <c r="AS135" s="342">
        <f t="shared" si="1730"/>
        <v>0</v>
      </c>
      <c r="AT135" s="343"/>
      <c r="AV135" s="147"/>
      <c r="AW135" s="147"/>
      <c r="AX135" s="147"/>
      <c r="AY135" s="344"/>
      <c r="AZ135" s="342"/>
      <c r="BA135" s="342"/>
      <c r="BB135" s="342">
        <f t="shared" si="1731"/>
        <v>1</v>
      </c>
      <c r="BC135" s="342">
        <f t="shared" si="1732"/>
        <v>0</v>
      </c>
      <c r="BD135" s="342">
        <f t="shared" si="1733"/>
        <v>0</v>
      </c>
      <c r="BE135" s="342">
        <f t="shared" si="1734"/>
        <v>0</v>
      </c>
      <c r="BF135" s="342">
        <f t="shared" si="1735"/>
        <v>0</v>
      </c>
      <c r="BG135" s="343"/>
      <c r="BI135" s="147"/>
      <c r="BJ135" s="147"/>
      <c r="BK135" s="147"/>
      <c r="BL135" s="344"/>
      <c r="BM135" s="342"/>
      <c r="BN135" s="342"/>
      <c r="BO135" s="342">
        <f t="shared" si="1736"/>
        <v>1</v>
      </c>
      <c r="BP135" s="342">
        <f t="shared" si="1737"/>
        <v>0</v>
      </c>
      <c r="BQ135" s="342">
        <f t="shared" si="1738"/>
        <v>0</v>
      </c>
      <c r="BR135" s="342">
        <f t="shared" si="1739"/>
        <v>0</v>
      </c>
      <c r="BS135" s="342">
        <f t="shared" si="1740"/>
        <v>0</v>
      </c>
      <c r="BT135" s="343"/>
      <c r="BV135" s="147"/>
      <c r="BW135" s="147"/>
      <c r="BX135" s="147"/>
      <c r="BY135" s="344"/>
      <c r="BZ135" s="342"/>
      <c r="CA135" s="342"/>
      <c r="CB135" s="342">
        <f t="shared" si="1741"/>
        <v>1</v>
      </c>
      <c r="CC135" s="342">
        <f t="shared" si="1742"/>
        <v>0</v>
      </c>
      <c r="CD135" s="342">
        <f t="shared" si="1743"/>
        <v>0</v>
      </c>
      <c r="CE135" s="342">
        <f t="shared" si="1744"/>
        <v>0</v>
      </c>
      <c r="CF135" s="342">
        <f t="shared" si="1745"/>
        <v>0</v>
      </c>
      <c r="CG135" s="343"/>
      <c r="CI135" s="147"/>
      <c r="CJ135" s="147"/>
      <c r="CK135" s="147"/>
      <c r="CL135" s="344"/>
      <c r="CM135" s="342"/>
      <c r="CN135" s="342"/>
      <c r="CO135" s="342">
        <f t="shared" si="1746"/>
        <v>1</v>
      </c>
      <c r="CP135" s="342">
        <f t="shared" si="1747"/>
        <v>0</v>
      </c>
      <c r="CQ135" s="342">
        <f t="shared" si="1748"/>
        <v>0</v>
      </c>
      <c r="CR135" s="342">
        <f t="shared" si="1749"/>
        <v>0</v>
      </c>
      <c r="CS135" s="342">
        <f t="shared" si="1750"/>
        <v>0</v>
      </c>
      <c r="CT135" s="343"/>
      <c r="CV135" s="147"/>
      <c r="CW135" s="147"/>
      <c r="CX135" s="147"/>
      <c r="CY135" s="344"/>
      <c r="CZ135" s="342"/>
      <c r="DA135" s="342"/>
      <c r="DB135" s="342">
        <f t="shared" si="1751"/>
        <v>1</v>
      </c>
      <c r="DC135" s="342">
        <f t="shared" si="1752"/>
        <v>0</v>
      </c>
      <c r="DD135" s="342">
        <f t="shared" si="1753"/>
        <v>0</v>
      </c>
      <c r="DE135" s="342">
        <f t="shared" si="1754"/>
        <v>0</v>
      </c>
      <c r="DF135" s="342">
        <f t="shared" si="1755"/>
        <v>0</v>
      </c>
      <c r="DG135" s="343"/>
      <c r="DI135" s="147"/>
      <c r="DJ135" s="147"/>
      <c r="DK135" s="147"/>
      <c r="DL135" s="344"/>
      <c r="DM135" s="342"/>
      <c r="DN135" s="342"/>
      <c r="DO135" s="342">
        <f t="shared" si="1756"/>
        <v>1</v>
      </c>
      <c r="DP135" s="342">
        <f t="shared" si="1757"/>
        <v>0</v>
      </c>
      <c r="DQ135" s="342">
        <f t="shared" si="1758"/>
        <v>0</v>
      </c>
      <c r="DR135" s="342">
        <f t="shared" si="1759"/>
        <v>0</v>
      </c>
      <c r="DS135" s="342">
        <f t="shared" si="1760"/>
        <v>0</v>
      </c>
      <c r="DT135" s="343"/>
      <c r="DV135" s="147"/>
      <c r="DW135" s="147"/>
      <c r="DX135" s="147"/>
      <c r="DY135" s="344"/>
      <c r="DZ135" s="342"/>
      <c r="EA135" s="342"/>
      <c r="EB135" s="342">
        <f t="shared" si="1761"/>
        <v>1</v>
      </c>
      <c r="EC135" s="342">
        <f t="shared" si="1762"/>
        <v>0</v>
      </c>
      <c r="ED135" s="342">
        <f t="shared" si="1763"/>
        <v>0</v>
      </c>
      <c r="EE135" s="342">
        <f t="shared" si="1764"/>
        <v>0</v>
      </c>
      <c r="EF135" s="342">
        <f t="shared" si="1765"/>
        <v>0</v>
      </c>
      <c r="EG135" s="343"/>
      <c r="EI135" s="147"/>
      <c r="EJ135" s="147"/>
      <c r="EK135" s="147"/>
      <c r="EL135" s="344"/>
      <c r="EM135" s="342"/>
      <c r="EN135" s="342"/>
      <c r="EO135" s="342">
        <f t="shared" si="1766"/>
        <v>1</v>
      </c>
      <c r="EP135" s="342">
        <f t="shared" si="1767"/>
        <v>0</v>
      </c>
      <c r="EQ135" s="342">
        <f t="shared" si="1768"/>
        <v>0</v>
      </c>
      <c r="ER135" s="342">
        <f t="shared" si="1769"/>
        <v>0</v>
      </c>
      <c r="ES135" s="342">
        <f t="shared" si="1770"/>
        <v>0</v>
      </c>
      <c r="ET135" s="343"/>
      <c r="EV135" s="147"/>
      <c r="EW135" s="147"/>
      <c r="EX135" s="147"/>
      <c r="EY135" s="344"/>
      <c r="EZ135" s="342"/>
      <c r="FA135" s="342"/>
      <c r="FB135" s="342">
        <f t="shared" si="1771"/>
        <v>1</v>
      </c>
      <c r="FC135" s="342">
        <f t="shared" si="1772"/>
        <v>0</v>
      </c>
      <c r="FD135" s="342">
        <f t="shared" si="1773"/>
        <v>0</v>
      </c>
      <c r="FE135" s="342">
        <f t="shared" si="1774"/>
        <v>0</v>
      </c>
      <c r="FF135" s="342">
        <f t="shared" si="1775"/>
        <v>0</v>
      </c>
      <c r="FG135" s="343"/>
      <c r="FI135" s="147"/>
      <c r="FJ135" s="147"/>
      <c r="FK135" s="147"/>
      <c r="FL135" s="344"/>
      <c r="FM135" s="342"/>
      <c r="FN135" s="342"/>
      <c r="FO135" s="342">
        <f t="shared" si="1776"/>
        <v>1</v>
      </c>
      <c r="FP135" s="342">
        <f t="shared" si="1777"/>
        <v>0</v>
      </c>
      <c r="FQ135" s="342">
        <f t="shared" si="1778"/>
        <v>0</v>
      </c>
      <c r="FR135" s="342">
        <f t="shared" si="1779"/>
        <v>0</v>
      </c>
      <c r="FS135" s="342">
        <f t="shared" si="1780"/>
        <v>0</v>
      </c>
      <c r="FT135" s="343"/>
      <c r="FV135" s="147"/>
      <c r="FW135" s="147"/>
      <c r="FX135" s="147"/>
      <c r="FY135" s="344"/>
      <c r="FZ135" s="342"/>
      <c r="GA135" s="342"/>
      <c r="GB135" s="342">
        <f t="shared" si="1781"/>
        <v>1</v>
      </c>
      <c r="GC135" s="342">
        <f t="shared" si="1782"/>
        <v>0</v>
      </c>
      <c r="GD135" s="342">
        <f t="shared" si="1783"/>
        <v>0</v>
      </c>
      <c r="GE135" s="342">
        <f t="shared" si="1784"/>
        <v>0</v>
      </c>
      <c r="GF135" s="342">
        <f t="shared" si="1785"/>
        <v>0</v>
      </c>
      <c r="GG135" s="343"/>
      <c r="GI135" s="147"/>
      <c r="GJ135" s="147"/>
      <c r="GK135" s="147"/>
      <c r="GL135" s="344"/>
      <c r="GM135" s="342"/>
      <c r="GN135" s="342"/>
      <c r="GO135" s="342">
        <f t="shared" si="1786"/>
        <v>1</v>
      </c>
      <c r="GP135" s="342">
        <f t="shared" si="1787"/>
        <v>0</v>
      </c>
      <c r="GQ135" s="342">
        <f t="shared" si="1788"/>
        <v>0</v>
      </c>
      <c r="GR135" s="342">
        <f t="shared" si="1789"/>
        <v>0</v>
      </c>
      <c r="GS135" s="342">
        <f t="shared" si="1790"/>
        <v>0</v>
      </c>
      <c r="GT135" s="343"/>
      <c r="GV135" s="147"/>
      <c r="GW135" s="147"/>
      <c r="GX135" s="147"/>
      <c r="GY135" s="344"/>
      <c r="GZ135" s="342"/>
      <c r="HA135" s="342"/>
      <c r="HB135" s="342">
        <f t="shared" si="1791"/>
        <v>1</v>
      </c>
      <c r="HC135" s="342">
        <f t="shared" si="1792"/>
        <v>0</v>
      </c>
      <c r="HD135" s="342">
        <f t="shared" si="1793"/>
        <v>0</v>
      </c>
      <c r="HE135" s="342">
        <f t="shared" si="1794"/>
        <v>0</v>
      </c>
      <c r="HF135" s="342">
        <f t="shared" si="1795"/>
        <v>0</v>
      </c>
      <c r="HG135" s="343"/>
      <c r="HI135" s="147"/>
      <c r="HJ135" s="147"/>
      <c r="HK135" s="147"/>
      <c r="HL135" s="344"/>
      <c r="HM135" s="342"/>
      <c r="HN135" s="342"/>
      <c r="HO135" s="342">
        <f t="shared" si="1796"/>
        <v>1</v>
      </c>
      <c r="HP135" s="342">
        <f t="shared" si="1797"/>
        <v>0</v>
      </c>
      <c r="HQ135" s="342">
        <f t="shared" si="1798"/>
        <v>0</v>
      </c>
      <c r="HR135" s="342">
        <f t="shared" si="1799"/>
        <v>0</v>
      </c>
      <c r="HS135" s="342">
        <f t="shared" si="1800"/>
        <v>0</v>
      </c>
      <c r="HT135" s="343"/>
      <c r="HV135" s="147"/>
      <c r="HW135" s="147"/>
      <c r="HX135" s="147"/>
      <c r="HY135" s="344"/>
      <c r="HZ135" s="342"/>
      <c r="IA135" s="342"/>
      <c r="IB135" s="342">
        <f t="shared" si="1801"/>
        <v>1</v>
      </c>
      <c r="IC135" s="342">
        <f t="shared" si="1802"/>
        <v>0</v>
      </c>
      <c r="ID135" s="342">
        <f t="shared" si="1803"/>
        <v>0</v>
      </c>
      <c r="IE135" s="342">
        <f t="shared" si="1804"/>
        <v>0</v>
      </c>
      <c r="IF135" s="342">
        <f t="shared" si="1805"/>
        <v>0</v>
      </c>
      <c r="IG135" s="343"/>
      <c r="II135" s="147"/>
      <c r="IJ135" s="147"/>
      <c r="IK135" s="147"/>
      <c r="IL135" s="344"/>
      <c r="IM135" s="342"/>
      <c r="IN135" s="342"/>
      <c r="IO135" s="342">
        <f t="shared" si="1806"/>
        <v>1</v>
      </c>
      <c r="IP135" s="342">
        <f t="shared" si="1807"/>
        <v>0</v>
      </c>
      <c r="IQ135" s="342">
        <f t="shared" si="1808"/>
        <v>0</v>
      </c>
      <c r="IR135" s="342">
        <f t="shared" si="1809"/>
        <v>0</v>
      </c>
      <c r="IS135" s="342">
        <f t="shared" si="1810"/>
        <v>0</v>
      </c>
      <c r="IT135" s="343"/>
      <c r="IV135" s="147"/>
      <c r="IW135" s="147"/>
      <c r="IX135" s="147"/>
      <c r="IY135" s="344"/>
      <c r="IZ135" s="342"/>
      <c r="JA135" s="342"/>
      <c r="JB135" s="342">
        <f t="shared" si="1811"/>
        <v>1</v>
      </c>
      <c r="JC135" s="342">
        <f t="shared" si="1812"/>
        <v>0</v>
      </c>
      <c r="JD135" s="342">
        <f t="shared" si="1813"/>
        <v>0</v>
      </c>
      <c r="JE135" s="342">
        <f t="shared" si="1814"/>
        <v>0</v>
      </c>
      <c r="JF135" s="342">
        <f t="shared" si="1815"/>
        <v>0</v>
      </c>
      <c r="JG135" s="343"/>
      <c r="JI135" s="147"/>
      <c r="JJ135" s="147"/>
      <c r="JK135" s="147"/>
      <c r="JL135" s="344"/>
      <c r="JM135" s="342"/>
      <c r="JN135" s="342"/>
      <c r="JO135" s="342">
        <f t="shared" si="1816"/>
        <v>1</v>
      </c>
      <c r="JP135" s="342">
        <f t="shared" si="1817"/>
        <v>0</v>
      </c>
      <c r="JQ135" s="342">
        <f t="shared" si="1818"/>
        <v>0</v>
      </c>
      <c r="JR135" s="342">
        <f t="shared" si="1819"/>
        <v>0</v>
      </c>
      <c r="JS135" s="342">
        <f t="shared" si="1820"/>
        <v>0</v>
      </c>
      <c r="JT135" s="343"/>
      <c r="JV135" s="147"/>
      <c r="JW135" s="147"/>
      <c r="JX135" s="147"/>
      <c r="JY135" s="344"/>
      <c r="JZ135" s="342"/>
      <c r="KA135" s="342"/>
      <c r="KB135" s="342">
        <f t="shared" si="1821"/>
        <v>1</v>
      </c>
      <c r="KC135" s="342">
        <f t="shared" si="1822"/>
        <v>0</v>
      </c>
      <c r="KD135" s="342">
        <f t="shared" si="1823"/>
        <v>0</v>
      </c>
      <c r="KE135" s="342">
        <f t="shared" si="1824"/>
        <v>0</v>
      </c>
      <c r="KF135" s="342">
        <f t="shared" si="1825"/>
        <v>0</v>
      </c>
      <c r="KG135" s="343"/>
      <c r="KI135" s="147"/>
      <c r="KJ135" s="147"/>
      <c r="KK135" s="147"/>
      <c r="KL135" s="344"/>
      <c r="KM135" s="342"/>
      <c r="KN135" s="342"/>
      <c r="KO135" s="342">
        <f t="shared" si="1826"/>
        <v>1</v>
      </c>
      <c r="KP135" s="342">
        <f t="shared" si="1827"/>
        <v>0</v>
      </c>
      <c r="KQ135" s="342">
        <f t="shared" si="1828"/>
        <v>0</v>
      </c>
      <c r="KR135" s="342">
        <f t="shared" si="1829"/>
        <v>0</v>
      </c>
      <c r="KS135" s="342">
        <f t="shared" si="1830"/>
        <v>0</v>
      </c>
      <c r="KT135" s="343"/>
      <c r="KV135" s="147"/>
      <c r="KW135" s="147"/>
      <c r="KX135" s="147"/>
      <c r="KY135" s="344"/>
      <c r="KZ135" s="342"/>
      <c r="LA135" s="342"/>
      <c r="LB135" s="342">
        <f t="shared" si="1831"/>
        <v>1</v>
      </c>
      <c r="LC135" s="342">
        <f t="shared" si="1832"/>
        <v>0</v>
      </c>
      <c r="LD135" s="342">
        <f t="shared" si="1833"/>
        <v>0</v>
      </c>
      <c r="LE135" s="342">
        <f t="shared" si="1834"/>
        <v>0</v>
      </c>
      <c r="LF135" s="342">
        <f t="shared" si="1835"/>
        <v>0</v>
      </c>
      <c r="LG135" s="343"/>
      <c r="LI135" s="147"/>
      <c r="LJ135" s="147"/>
      <c r="LK135" s="147"/>
      <c r="LL135" s="344"/>
      <c r="LM135" s="342"/>
      <c r="LN135" s="342"/>
      <c r="LO135" s="342">
        <f t="shared" si="1836"/>
        <v>1</v>
      </c>
      <c r="LP135" s="342">
        <f t="shared" si="1837"/>
        <v>0</v>
      </c>
      <c r="LQ135" s="342">
        <f t="shared" si="1838"/>
        <v>0</v>
      </c>
      <c r="LR135" s="342">
        <f t="shared" si="1839"/>
        <v>0</v>
      </c>
      <c r="LS135" s="342">
        <f t="shared" si="1840"/>
        <v>0</v>
      </c>
      <c r="LT135" s="343"/>
      <c r="LV135" s="147"/>
      <c r="LW135" s="147"/>
      <c r="LX135" s="147"/>
      <c r="LY135" s="344"/>
      <c r="LZ135" s="342"/>
      <c r="MA135" s="342"/>
      <c r="MB135" s="342">
        <f t="shared" si="1841"/>
        <v>1</v>
      </c>
      <c r="MC135" s="342">
        <f t="shared" si="1842"/>
        <v>0</v>
      </c>
      <c r="MD135" s="342">
        <f t="shared" si="1843"/>
        <v>0</v>
      </c>
      <c r="ME135" s="342">
        <f t="shared" si="1844"/>
        <v>0</v>
      </c>
      <c r="MF135" s="342">
        <f t="shared" si="1845"/>
        <v>0</v>
      </c>
      <c r="MG135" s="343"/>
    </row>
    <row r="136" spans="2:345" ht="15.75" customHeight="1">
      <c r="B136" s="849" t="str">
        <f>Language!$E$244</f>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C136" s="850"/>
      <c r="D136" s="850"/>
      <c r="E136" s="850"/>
      <c r="F136" s="850"/>
      <c r="G136" s="850"/>
      <c r="H136" s="851"/>
      <c r="I136" s="293"/>
      <c r="J136" s="147"/>
      <c r="K136" s="147"/>
      <c r="L136" s="344"/>
      <c r="M136" s="342"/>
      <c r="N136" s="342"/>
      <c r="O136" s="342">
        <f t="shared" si="1716"/>
        <v>1</v>
      </c>
      <c r="P136" s="342">
        <f t="shared" si="1717"/>
        <v>0</v>
      </c>
      <c r="Q136" s="342">
        <f t="shared" si="1718"/>
        <v>0</v>
      </c>
      <c r="R136" s="342">
        <f t="shared" si="1719"/>
        <v>0</v>
      </c>
      <c r="S136" s="342">
        <f t="shared" si="1720"/>
        <v>0</v>
      </c>
      <c r="T136" s="343"/>
      <c r="V136" s="147"/>
      <c r="W136" s="147"/>
      <c r="X136" s="147"/>
      <c r="Y136" s="344"/>
      <c r="Z136" s="342"/>
      <c r="AA136" s="342"/>
      <c r="AB136" s="342">
        <f t="shared" si="1721"/>
        <v>1</v>
      </c>
      <c r="AC136" s="342">
        <f t="shared" si="1722"/>
        <v>0</v>
      </c>
      <c r="AD136" s="342">
        <f t="shared" si="1723"/>
        <v>0</v>
      </c>
      <c r="AE136" s="342">
        <f t="shared" si="1724"/>
        <v>0</v>
      </c>
      <c r="AF136" s="342">
        <f t="shared" si="1725"/>
        <v>0</v>
      </c>
      <c r="AG136" s="343"/>
      <c r="AI136" s="147"/>
      <c r="AJ136" s="147"/>
      <c r="AK136" s="147"/>
      <c r="AL136" s="344"/>
      <c r="AM136" s="342"/>
      <c r="AN136" s="342"/>
      <c r="AO136" s="342">
        <f t="shared" si="1726"/>
        <v>1</v>
      </c>
      <c r="AP136" s="342">
        <f t="shared" si="1727"/>
        <v>0</v>
      </c>
      <c r="AQ136" s="342">
        <f t="shared" si="1728"/>
        <v>0</v>
      </c>
      <c r="AR136" s="342">
        <f t="shared" si="1729"/>
        <v>0</v>
      </c>
      <c r="AS136" s="342">
        <f t="shared" si="1730"/>
        <v>0</v>
      </c>
      <c r="AT136" s="343"/>
      <c r="AV136" s="147"/>
      <c r="AW136" s="147"/>
      <c r="AX136" s="147"/>
      <c r="AY136" s="344"/>
      <c r="AZ136" s="342"/>
      <c r="BA136" s="342"/>
      <c r="BB136" s="342">
        <f t="shared" si="1731"/>
        <v>1</v>
      </c>
      <c r="BC136" s="342">
        <f t="shared" si="1732"/>
        <v>0</v>
      </c>
      <c r="BD136" s="342">
        <f t="shared" si="1733"/>
        <v>0</v>
      </c>
      <c r="BE136" s="342">
        <f t="shared" si="1734"/>
        <v>0</v>
      </c>
      <c r="BF136" s="342">
        <f t="shared" si="1735"/>
        <v>0</v>
      </c>
      <c r="BG136" s="343"/>
      <c r="BI136" s="147"/>
      <c r="BJ136" s="147"/>
      <c r="BK136" s="147"/>
      <c r="BL136" s="344"/>
      <c r="BM136" s="342"/>
      <c r="BN136" s="342"/>
      <c r="BO136" s="342">
        <f t="shared" si="1736"/>
        <v>1</v>
      </c>
      <c r="BP136" s="342">
        <f t="shared" si="1737"/>
        <v>0</v>
      </c>
      <c r="BQ136" s="342">
        <f t="shared" si="1738"/>
        <v>0</v>
      </c>
      <c r="BR136" s="342">
        <f t="shared" si="1739"/>
        <v>0</v>
      </c>
      <c r="BS136" s="342">
        <f t="shared" si="1740"/>
        <v>0</v>
      </c>
      <c r="BT136" s="343"/>
      <c r="BV136" s="147"/>
      <c r="BW136" s="147"/>
      <c r="BX136" s="147"/>
      <c r="BY136" s="344"/>
      <c r="BZ136" s="342"/>
      <c r="CA136" s="342"/>
      <c r="CB136" s="342">
        <f t="shared" si="1741"/>
        <v>1</v>
      </c>
      <c r="CC136" s="342">
        <f t="shared" si="1742"/>
        <v>0</v>
      </c>
      <c r="CD136" s="342">
        <f t="shared" si="1743"/>
        <v>0</v>
      </c>
      <c r="CE136" s="342">
        <f t="shared" si="1744"/>
        <v>0</v>
      </c>
      <c r="CF136" s="342">
        <f t="shared" si="1745"/>
        <v>0</v>
      </c>
      <c r="CG136" s="343"/>
      <c r="CI136" s="147"/>
      <c r="CJ136" s="147"/>
      <c r="CK136" s="147"/>
      <c r="CL136" s="344"/>
      <c r="CM136" s="342"/>
      <c r="CN136" s="342"/>
      <c r="CO136" s="342">
        <f t="shared" si="1746"/>
        <v>1</v>
      </c>
      <c r="CP136" s="342">
        <f t="shared" si="1747"/>
        <v>0</v>
      </c>
      <c r="CQ136" s="342">
        <f t="shared" si="1748"/>
        <v>0</v>
      </c>
      <c r="CR136" s="342">
        <f t="shared" si="1749"/>
        <v>0</v>
      </c>
      <c r="CS136" s="342">
        <f t="shared" si="1750"/>
        <v>0</v>
      </c>
      <c r="CT136" s="343"/>
      <c r="CV136" s="147"/>
      <c r="CW136" s="147"/>
      <c r="CX136" s="147"/>
      <c r="CY136" s="344"/>
      <c r="CZ136" s="342"/>
      <c r="DA136" s="342"/>
      <c r="DB136" s="342">
        <f t="shared" si="1751"/>
        <v>1</v>
      </c>
      <c r="DC136" s="342">
        <f t="shared" si="1752"/>
        <v>0</v>
      </c>
      <c r="DD136" s="342">
        <f t="shared" si="1753"/>
        <v>0</v>
      </c>
      <c r="DE136" s="342">
        <f t="shared" si="1754"/>
        <v>0</v>
      </c>
      <c r="DF136" s="342">
        <f t="shared" si="1755"/>
        <v>0</v>
      </c>
      <c r="DG136" s="343"/>
      <c r="DI136" s="147"/>
      <c r="DJ136" s="147"/>
      <c r="DK136" s="147"/>
      <c r="DL136" s="344"/>
      <c r="DM136" s="342"/>
      <c r="DN136" s="342"/>
      <c r="DO136" s="342">
        <f t="shared" si="1756"/>
        <v>1</v>
      </c>
      <c r="DP136" s="342">
        <f t="shared" si="1757"/>
        <v>0</v>
      </c>
      <c r="DQ136" s="342">
        <f t="shared" si="1758"/>
        <v>0</v>
      </c>
      <c r="DR136" s="342">
        <f t="shared" si="1759"/>
        <v>0</v>
      </c>
      <c r="DS136" s="342">
        <f t="shared" si="1760"/>
        <v>0</v>
      </c>
      <c r="DT136" s="343"/>
      <c r="DV136" s="147"/>
      <c r="DW136" s="147"/>
      <c r="DX136" s="147"/>
      <c r="DY136" s="344"/>
      <c r="DZ136" s="342"/>
      <c r="EA136" s="342"/>
      <c r="EB136" s="342">
        <f t="shared" si="1761"/>
        <v>1</v>
      </c>
      <c r="EC136" s="342">
        <f t="shared" si="1762"/>
        <v>0</v>
      </c>
      <c r="ED136" s="342">
        <f t="shared" si="1763"/>
        <v>0</v>
      </c>
      <c r="EE136" s="342">
        <f t="shared" si="1764"/>
        <v>0</v>
      </c>
      <c r="EF136" s="342">
        <f t="shared" si="1765"/>
        <v>0</v>
      </c>
      <c r="EG136" s="343"/>
      <c r="EI136" s="147"/>
      <c r="EJ136" s="147"/>
      <c r="EK136" s="147"/>
      <c r="EL136" s="344"/>
      <c r="EM136" s="342"/>
      <c r="EN136" s="342"/>
      <c r="EO136" s="342">
        <f t="shared" si="1766"/>
        <v>1</v>
      </c>
      <c r="EP136" s="342">
        <f t="shared" si="1767"/>
        <v>0</v>
      </c>
      <c r="EQ136" s="342">
        <f t="shared" si="1768"/>
        <v>0</v>
      </c>
      <c r="ER136" s="342">
        <f t="shared" si="1769"/>
        <v>0</v>
      </c>
      <c r="ES136" s="342">
        <f t="shared" si="1770"/>
        <v>0</v>
      </c>
      <c r="ET136" s="343"/>
      <c r="EV136" s="147"/>
      <c r="EW136" s="147"/>
      <c r="EX136" s="147"/>
      <c r="EY136" s="344"/>
      <c r="EZ136" s="342"/>
      <c r="FA136" s="342"/>
      <c r="FB136" s="342">
        <f t="shared" si="1771"/>
        <v>1</v>
      </c>
      <c r="FC136" s="342">
        <f t="shared" si="1772"/>
        <v>0</v>
      </c>
      <c r="FD136" s="342">
        <f t="shared" si="1773"/>
        <v>0</v>
      </c>
      <c r="FE136" s="342">
        <f t="shared" si="1774"/>
        <v>0</v>
      </c>
      <c r="FF136" s="342">
        <f t="shared" si="1775"/>
        <v>0</v>
      </c>
      <c r="FG136" s="343"/>
      <c r="FI136" s="147"/>
      <c r="FJ136" s="147"/>
      <c r="FK136" s="147"/>
      <c r="FL136" s="344"/>
      <c r="FM136" s="342"/>
      <c r="FN136" s="342"/>
      <c r="FO136" s="342">
        <f t="shared" si="1776"/>
        <v>1</v>
      </c>
      <c r="FP136" s="342">
        <f t="shared" si="1777"/>
        <v>0</v>
      </c>
      <c r="FQ136" s="342">
        <f t="shared" si="1778"/>
        <v>0</v>
      </c>
      <c r="FR136" s="342">
        <f t="shared" si="1779"/>
        <v>0</v>
      </c>
      <c r="FS136" s="342">
        <f t="shared" si="1780"/>
        <v>0</v>
      </c>
      <c r="FT136" s="343"/>
      <c r="FV136" s="147"/>
      <c r="FW136" s="147"/>
      <c r="FX136" s="147"/>
      <c r="FY136" s="344"/>
      <c r="FZ136" s="342"/>
      <c r="GA136" s="342"/>
      <c r="GB136" s="342">
        <f t="shared" si="1781"/>
        <v>1</v>
      </c>
      <c r="GC136" s="342">
        <f t="shared" si="1782"/>
        <v>0</v>
      </c>
      <c r="GD136" s="342">
        <f t="shared" si="1783"/>
        <v>0</v>
      </c>
      <c r="GE136" s="342">
        <f t="shared" si="1784"/>
        <v>0</v>
      </c>
      <c r="GF136" s="342">
        <f t="shared" si="1785"/>
        <v>0</v>
      </c>
      <c r="GG136" s="343"/>
      <c r="GI136" s="147"/>
      <c r="GJ136" s="147"/>
      <c r="GK136" s="147"/>
      <c r="GL136" s="344"/>
      <c r="GM136" s="342"/>
      <c r="GN136" s="342"/>
      <c r="GO136" s="342">
        <f t="shared" si="1786"/>
        <v>1</v>
      </c>
      <c r="GP136" s="342">
        <f t="shared" si="1787"/>
        <v>0</v>
      </c>
      <c r="GQ136" s="342">
        <f t="shared" si="1788"/>
        <v>0</v>
      </c>
      <c r="GR136" s="342">
        <f t="shared" si="1789"/>
        <v>0</v>
      </c>
      <c r="GS136" s="342">
        <f t="shared" si="1790"/>
        <v>0</v>
      </c>
      <c r="GT136" s="343"/>
      <c r="GV136" s="147"/>
      <c r="GW136" s="147"/>
      <c r="GX136" s="147"/>
      <c r="GY136" s="344"/>
      <c r="GZ136" s="342"/>
      <c r="HA136" s="342"/>
      <c r="HB136" s="342">
        <f t="shared" si="1791"/>
        <v>1</v>
      </c>
      <c r="HC136" s="342">
        <f t="shared" si="1792"/>
        <v>0</v>
      </c>
      <c r="HD136" s="342">
        <f t="shared" si="1793"/>
        <v>0</v>
      </c>
      <c r="HE136" s="342">
        <f t="shared" si="1794"/>
        <v>0</v>
      </c>
      <c r="HF136" s="342">
        <f t="shared" si="1795"/>
        <v>0</v>
      </c>
      <c r="HG136" s="343"/>
      <c r="HI136" s="147"/>
      <c r="HJ136" s="147"/>
      <c r="HK136" s="147"/>
      <c r="HL136" s="344"/>
      <c r="HM136" s="342"/>
      <c r="HN136" s="342"/>
      <c r="HO136" s="342">
        <f t="shared" si="1796"/>
        <v>1</v>
      </c>
      <c r="HP136" s="342">
        <f t="shared" si="1797"/>
        <v>0</v>
      </c>
      <c r="HQ136" s="342">
        <f t="shared" si="1798"/>
        <v>0</v>
      </c>
      <c r="HR136" s="342">
        <f t="shared" si="1799"/>
        <v>0</v>
      </c>
      <c r="HS136" s="342">
        <f t="shared" si="1800"/>
        <v>0</v>
      </c>
      <c r="HT136" s="343"/>
      <c r="HV136" s="147"/>
      <c r="HW136" s="147"/>
      <c r="HX136" s="147"/>
      <c r="HY136" s="344"/>
      <c r="HZ136" s="342"/>
      <c r="IA136" s="342"/>
      <c r="IB136" s="342">
        <f t="shared" si="1801"/>
        <v>1</v>
      </c>
      <c r="IC136" s="342">
        <f t="shared" si="1802"/>
        <v>0</v>
      </c>
      <c r="ID136" s="342">
        <f t="shared" si="1803"/>
        <v>0</v>
      </c>
      <c r="IE136" s="342">
        <f t="shared" si="1804"/>
        <v>0</v>
      </c>
      <c r="IF136" s="342">
        <f t="shared" si="1805"/>
        <v>0</v>
      </c>
      <c r="IG136" s="343"/>
      <c r="II136" s="147"/>
      <c r="IJ136" s="147"/>
      <c r="IK136" s="147"/>
      <c r="IL136" s="344"/>
      <c r="IM136" s="342"/>
      <c r="IN136" s="342"/>
      <c r="IO136" s="342">
        <f t="shared" si="1806"/>
        <v>1</v>
      </c>
      <c r="IP136" s="342">
        <f t="shared" si="1807"/>
        <v>0</v>
      </c>
      <c r="IQ136" s="342">
        <f t="shared" si="1808"/>
        <v>0</v>
      </c>
      <c r="IR136" s="342">
        <f t="shared" si="1809"/>
        <v>0</v>
      </c>
      <c r="IS136" s="342">
        <f t="shared" si="1810"/>
        <v>0</v>
      </c>
      <c r="IT136" s="343"/>
      <c r="IV136" s="147"/>
      <c r="IW136" s="147"/>
      <c r="IX136" s="147"/>
      <c r="IY136" s="344"/>
      <c r="IZ136" s="342"/>
      <c r="JA136" s="342"/>
      <c r="JB136" s="342">
        <f t="shared" si="1811"/>
        <v>1</v>
      </c>
      <c r="JC136" s="342">
        <f t="shared" si="1812"/>
        <v>0</v>
      </c>
      <c r="JD136" s="342">
        <f t="shared" si="1813"/>
        <v>0</v>
      </c>
      <c r="JE136" s="342">
        <f t="shared" si="1814"/>
        <v>0</v>
      </c>
      <c r="JF136" s="342">
        <f t="shared" si="1815"/>
        <v>0</v>
      </c>
      <c r="JG136" s="343"/>
      <c r="JI136" s="147"/>
      <c r="JJ136" s="147"/>
      <c r="JK136" s="147"/>
      <c r="JL136" s="344"/>
      <c r="JM136" s="342"/>
      <c r="JN136" s="342"/>
      <c r="JO136" s="342">
        <f t="shared" si="1816"/>
        <v>1</v>
      </c>
      <c r="JP136" s="342">
        <f t="shared" si="1817"/>
        <v>0</v>
      </c>
      <c r="JQ136" s="342">
        <f t="shared" si="1818"/>
        <v>0</v>
      </c>
      <c r="JR136" s="342">
        <f t="shared" si="1819"/>
        <v>0</v>
      </c>
      <c r="JS136" s="342">
        <f t="shared" si="1820"/>
        <v>0</v>
      </c>
      <c r="JT136" s="343"/>
      <c r="JV136" s="147"/>
      <c r="JW136" s="147"/>
      <c r="JX136" s="147"/>
      <c r="JY136" s="344"/>
      <c r="JZ136" s="342"/>
      <c r="KA136" s="342"/>
      <c r="KB136" s="342">
        <f t="shared" si="1821"/>
        <v>1</v>
      </c>
      <c r="KC136" s="342">
        <f t="shared" si="1822"/>
        <v>0</v>
      </c>
      <c r="KD136" s="342">
        <f t="shared" si="1823"/>
        <v>0</v>
      </c>
      <c r="KE136" s="342">
        <f t="shared" si="1824"/>
        <v>0</v>
      </c>
      <c r="KF136" s="342">
        <f t="shared" si="1825"/>
        <v>0</v>
      </c>
      <c r="KG136" s="343"/>
      <c r="KI136" s="147"/>
      <c r="KJ136" s="147"/>
      <c r="KK136" s="147"/>
      <c r="KL136" s="344"/>
      <c r="KM136" s="342"/>
      <c r="KN136" s="342"/>
      <c r="KO136" s="342">
        <f t="shared" si="1826"/>
        <v>1</v>
      </c>
      <c r="KP136" s="342">
        <f t="shared" si="1827"/>
        <v>0</v>
      </c>
      <c r="KQ136" s="342">
        <f t="shared" si="1828"/>
        <v>0</v>
      </c>
      <c r="KR136" s="342">
        <f t="shared" si="1829"/>
        <v>0</v>
      </c>
      <c r="KS136" s="342">
        <f t="shared" si="1830"/>
        <v>0</v>
      </c>
      <c r="KT136" s="343"/>
      <c r="KV136" s="147"/>
      <c r="KW136" s="147"/>
      <c r="KX136" s="147"/>
      <c r="KY136" s="344"/>
      <c r="KZ136" s="342"/>
      <c r="LA136" s="342"/>
      <c r="LB136" s="342">
        <f t="shared" si="1831"/>
        <v>1</v>
      </c>
      <c r="LC136" s="342">
        <f t="shared" si="1832"/>
        <v>0</v>
      </c>
      <c r="LD136" s="342">
        <f t="shared" si="1833"/>
        <v>0</v>
      </c>
      <c r="LE136" s="342">
        <f t="shared" si="1834"/>
        <v>0</v>
      </c>
      <c r="LF136" s="342">
        <f t="shared" si="1835"/>
        <v>0</v>
      </c>
      <c r="LG136" s="343"/>
      <c r="LI136" s="147"/>
      <c r="LJ136" s="147"/>
      <c r="LK136" s="147"/>
      <c r="LL136" s="344"/>
      <c r="LM136" s="342"/>
      <c r="LN136" s="342"/>
      <c r="LO136" s="342">
        <f t="shared" si="1836"/>
        <v>1</v>
      </c>
      <c r="LP136" s="342">
        <f t="shared" si="1837"/>
        <v>0</v>
      </c>
      <c r="LQ136" s="342">
        <f t="shared" si="1838"/>
        <v>0</v>
      </c>
      <c r="LR136" s="342">
        <f t="shared" si="1839"/>
        <v>0</v>
      </c>
      <c r="LS136" s="342">
        <f t="shared" si="1840"/>
        <v>0</v>
      </c>
      <c r="LT136" s="343"/>
      <c r="LV136" s="147"/>
      <c r="LW136" s="147"/>
      <c r="LX136" s="147"/>
      <c r="LY136" s="344"/>
      <c r="LZ136" s="342"/>
      <c r="MA136" s="342"/>
      <c r="MB136" s="342">
        <f t="shared" si="1841"/>
        <v>1</v>
      </c>
      <c r="MC136" s="342">
        <f t="shared" si="1842"/>
        <v>0</v>
      </c>
      <c r="MD136" s="342">
        <f t="shared" si="1843"/>
        <v>0</v>
      </c>
      <c r="ME136" s="342">
        <f t="shared" si="1844"/>
        <v>0</v>
      </c>
      <c r="MF136" s="342">
        <f t="shared" si="1845"/>
        <v>0</v>
      </c>
      <c r="MG136" s="343"/>
    </row>
    <row r="137" spans="2:345">
      <c r="B137" s="849"/>
      <c r="C137" s="850"/>
      <c r="D137" s="850"/>
      <c r="E137" s="850"/>
      <c r="F137" s="850"/>
      <c r="G137" s="850"/>
      <c r="H137" s="851"/>
      <c r="I137" s="293"/>
      <c r="J137" s="147"/>
      <c r="K137" s="147"/>
      <c r="L137" s="344"/>
      <c r="M137" s="342"/>
      <c r="N137" s="342"/>
      <c r="O137" s="342">
        <f t="shared" si="1716"/>
        <v>1</v>
      </c>
      <c r="P137" s="342">
        <f t="shared" si="1717"/>
        <v>0</v>
      </c>
      <c r="Q137" s="342">
        <f t="shared" si="1718"/>
        <v>0</v>
      </c>
      <c r="R137" s="342">
        <f t="shared" si="1719"/>
        <v>0</v>
      </c>
      <c r="S137" s="342">
        <f t="shared" si="1720"/>
        <v>0</v>
      </c>
      <c r="T137" s="343"/>
      <c r="V137" s="147"/>
      <c r="W137" s="147"/>
      <c r="X137" s="147"/>
      <c r="Y137" s="344"/>
      <c r="Z137" s="342"/>
      <c r="AA137" s="342"/>
      <c r="AB137" s="342">
        <f t="shared" si="1721"/>
        <v>1</v>
      </c>
      <c r="AC137" s="342">
        <f t="shared" si="1722"/>
        <v>0</v>
      </c>
      <c r="AD137" s="342">
        <f t="shared" si="1723"/>
        <v>0</v>
      </c>
      <c r="AE137" s="342">
        <f t="shared" si="1724"/>
        <v>0</v>
      </c>
      <c r="AF137" s="342">
        <f t="shared" si="1725"/>
        <v>0</v>
      </c>
      <c r="AG137" s="343"/>
      <c r="AI137" s="147"/>
      <c r="AJ137" s="147"/>
      <c r="AK137" s="147"/>
      <c r="AL137" s="344"/>
      <c r="AM137" s="342"/>
      <c r="AN137" s="342"/>
      <c r="AO137" s="342">
        <f t="shared" si="1726"/>
        <v>1</v>
      </c>
      <c r="AP137" s="342">
        <f t="shared" si="1727"/>
        <v>0</v>
      </c>
      <c r="AQ137" s="342">
        <f t="shared" si="1728"/>
        <v>0</v>
      </c>
      <c r="AR137" s="342">
        <f t="shared" si="1729"/>
        <v>0</v>
      </c>
      <c r="AS137" s="342">
        <f t="shared" si="1730"/>
        <v>0</v>
      </c>
      <c r="AT137" s="343"/>
      <c r="AV137" s="147"/>
      <c r="AW137" s="147"/>
      <c r="AX137" s="147"/>
      <c r="AY137" s="344"/>
      <c r="AZ137" s="342"/>
      <c r="BA137" s="342"/>
      <c r="BB137" s="342">
        <f t="shared" si="1731"/>
        <v>1</v>
      </c>
      <c r="BC137" s="342">
        <f t="shared" si="1732"/>
        <v>0</v>
      </c>
      <c r="BD137" s="342">
        <f t="shared" si="1733"/>
        <v>0</v>
      </c>
      <c r="BE137" s="342">
        <f t="shared" si="1734"/>
        <v>0</v>
      </c>
      <c r="BF137" s="342">
        <f t="shared" si="1735"/>
        <v>0</v>
      </c>
      <c r="BG137" s="343"/>
      <c r="BI137" s="147"/>
      <c r="BJ137" s="147"/>
      <c r="BK137" s="147"/>
      <c r="BL137" s="344"/>
      <c r="BM137" s="342"/>
      <c r="BN137" s="342"/>
      <c r="BO137" s="342">
        <f t="shared" si="1736"/>
        <v>1</v>
      </c>
      <c r="BP137" s="342">
        <f t="shared" si="1737"/>
        <v>0</v>
      </c>
      <c r="BQ137" s="342">
        <f t="shared" si="1738"/>
        <v>0</v>
      </c>
      <c r="BR137" s="342">
        <f t="shared" si="1739"/>
        <v>0</v>
      </c>
      <c r="BS137" s="342">
        <f t="shared" si="1740"/>
        <v>0</v>
      </c>
      <c r="BT137" s="343"/>
      <c r="BV137" s="147"/>
      <c r="BW137" s="147"/>
      <c r="BX137" s="147"/>
      <c r="BY137" s="344"/>
      <c r="BZ137" s="342"/>
      <c r="CA137" s="342"/>
      <c r="CB137" s="342">
        <f t="shared" si="1741"/>
        <v>1</v>
      </c>
      <c r="CC137" s="342">
        <f t="shared" si="1742"/>
        <v>0</v>
      </c>
      <c r="CD137" s="342">
        <f t="shared" si="1743"/>
        <v>0</v>
      </c>
      <c r="CE137" s="342">
        <f t="shared" si="1744"/>
        <v>0</v>
      </c>
      <c r="CF137" s="342">
        <f t="shared" si="1745"/>
        <v>0</v>
      </c>
      <c r="CG137" s="343"/>
      <c r="CI137" s="147"/>
      <c r="CJ137" s="147"/>
      <c r="CK137" s="147"/>
      <c r="CL137" s="344"/>
      <c r="CM137" s="342"/>
      <c r="CN137" s="342"/>
      <c r="CO137" s="342">
        <f t="shared" si="1746"/>
        <v>1</v>
      </c>
      <c r="CP137" s="342">
        <f t="shared" si="1747"/>
        <v>0</v>
      </c>
      <c r="CQ137" s="342">
        <f t="shared" si="1748"/>
        <v>0</v>
      </c>
      <c r="CR137" s="342">
        <f t="shared" si="1749"/>
        <v>0</v>
      </c>
      <c r="CS137" s="342">
        <f t="shared" si="1750"/>
        <v>0</v>
      </c>
      <c r="CT137" s="343"/>
      <c r="CV137" s="147"/>
      <c r="CW137" s="147"/>
      <c r="CX137" s="147"/>
      <c r="CY137" s="344"/>
      <c r="CZ137" s="342"/>
      <c r="DA137" s="342"/>
      <c r="DB137" s="342">
        <f t="shared" si="1751"/>
        <v>1</v>
      </c>
      <c r="DC137" s="342">
        <f t="shared" si="1752"/>
        <v>0</v>
      </c>
      <c r="DD137" s="342">
        <f t="shared" si="1753"/>
        <v>0</v>
      </c>
      <c r="DE137" s="342">
        <f t="shared" si="1754"/>
        <v>0</v>
      </c>
      <c r="DF137" s="342">
        <f t="shared" si="1755"/>
        <v>0</v>
      </c>
      <c r="DG137" s="343"/>
      <c r="DI137" s="147"/>
      <c r="DJ137" s="147"/>
      <c r="DK137" s="147"/>
      <c r="DL137" s="344"/>
      <c r="DM137" s="342"/>
      <c r="DN137" s="342"/>
      <c r="DO137" s="342">
        <f t="shared" si="1756"/>
        <v>1</v>
      </c>
      <c r="DP137" s="342">
        <f t="shared" si="1757"/>
        <v>0</v>
      </c>
      <c r="DQ137" s="342">
        <f t="shared" si="1758"/>
        <v>0</v>
      </c>
      <c r="DR137" s="342">
        <f t="shared" si="1759"/>
        <v>0</v>
      </c>
      <c r="DS137" s="342">
        <f t="shared" si="1760"/>
        <v>0</v>
      </c>
      <c r="DT137" s="343"/>
      <c r="DV137" s="147"/>
      <c r="DW137" s="147"/>
      <c r="DX137" s="147"/>
      <c r="DY137" s="344"/>
      <c r="DZ137" s="342"/>
      <c r="EA137" s="342"/>
      <c r="EB137" s="342">
        <f t="shared" si="1761"/>
        <v>1</v>
      </c>
      <c r="EC137" s="342">
        <f t="shared" si="1762"/>
        <v>0</v>
      </c>
      <c r="ED137" s="342">
        <f t="shared" si="1763"/>
        <v>0</v>
      </c>
      <c r="EE137" s="342">
        <f t="shared" si="1764"/>
        <v>0</v>
      </c>
      <c r="EF137" s="342">
        <f t="shared" si="1765"/>
        <v>0</v>
      </c>
      <c r="EG137" s="343"/>
      <c r="EI137" s="147"/>
      <c r="EJ137" s="147"/>
      <c r="EK137" s="147"/>
      <c r="EL137" s="344"/>
      <c r="EM137" s="342"/>
      <c r="EN137" s="342"/>
      <c r="EO137" s="342">
        <f t="shared" si="1766"/>
        <v>1</v>
      </c>
      <c r="EP137" s="342">
        <f t="shared" si="1767"/>
        <v>0</v>
      </c>
      <c r="EQ137" s="342">
        <f t="shared" si="1768"/>
        <v>0</v>
      </c>
      <c r="ER137" s="342">
        <f t="shared" si="1769"/>
        <v>0</v>
      </c>
      <c r="ES137" s="342">
        <f t="shared" si="1770"/>
        <v>0</v>
      </c>
      <c r="ET137" s="343"/>
      <c r="EV137" s="147"/>
      <c r="EW137" s="147"/>
      <c r="EX137" s="147"/>
      <c r="EY137" s="344"/>
      <c r="EZ137" s="342"/>
      <c r="FA137" s="342"/>
      <c r="FB137" s="342">
        <f t="shared" si="1771"/>
        <v>1</v>
      </c>
      <c r="FC137" s="342">
        <f t="shared" si="1772"/>
        <v>0</v>
      </c>
      <c r="FD137" s="342">
        <f t="shared" si="1773"/>
        <v>0</v>
      </c>
      <c r="FE137" s="342">
        <f t="shared" si="1774"/>
        <v>0</v>
      </c>
      <c r="FF137" s="342">
        <f t="shared" si="1775"/>
        <v>0</v>
      </c>
      <c r="FG137" s="343"/>
      <c r="FI137" s="147"/>
      <c r="FJ137" s="147"/>
      <c r="FK137" s="147"/>
      <c r="FL137" s="344"/>
      <c r="FM137" s="342"/>
      <c r="FN137" s="342"/>
      <c r="FO137" s="342">
        <f t="shared" si="1776"/>
        <v>1</v>
      </c>
      <c r="FP137" s="342">
        <f t="shared" si="1777"/>
        <v>0</v>
      </c>
      <c r="FQ137" s="342">
        <f t="shared" si="1778"/>
        <v>0</v>
      </c>
      <c r="FR137" s="342">
        <f t="shared" si="1779"/>
        <v>0</v>
      </c>
      <c r="FS137" s="342">
        <f t="shared" si="1780"/>
        <v>0</v>
      </c>
      <c r="FT137" s="343"/>
      <c r="FV137" s="147"/>
      <c r="FW137" s="147"/>
      <c r="FX137" s="147"/>
      <c r="FY137" s="344"/>
      <c r="FZ137" s="342"/>
      <c r="GA137" s="342"/>
      <c r="GB137" s="342">
        <f t="shared" si="1781"/>
        <v>1</v>
      </c>
      <c r="GC137" s="342">
        <f t="shared" si="1782"/>
        <v>0</v>
      </c>
      <c r="GD137" s="342">
        <f t="shared" si="1783"/>
        <v>0</v>
      </c>
      <c r="GE137" s="342">
        <f t="shared" si="1784"/>
        <v>0</v>
      </c>
      <c r="GF137" s="342">
        <f t="shared" si="1785"/>
        <v>0</v>
      </c>
      <c r="GG137" s="343"/>
      <c r="GI137" s="147"/>
      <c r="GJ137" s="147"/>
      <c r="GK137" s="147"/>
      <c r="GL137" s="344"/>
      <c r="GM137" s="342"/>
      <c r="GN137" s="342"/>
      <c r="GO137" s="342">
        <f t="shared" si="1786"/>
        <v>1</v>
      </c>
      <c r="GP137" s="342">
        <f t="shared" si="1787"/>
        <v>0</v>
      </c>
      <c r="GQ137" s="342">
        <f t="shared" si="1788"/>
        <v>0</v>
      </c>
      <c r="GR137" s="342">
        <f t="shared" si="1789"/>
        <v>0</v>
      </c>
      <c r="GS137" s="342">
        <f t="shared" si="1790"/>
        <v>0</v>
      </c>
      <c r="GT137" s="343"/>
      <c r="GV137" s="147"/>
      <c r="GW137" s="147"/>
      <c r="GX137" s="147"/>
      <c r="GY137" s="344"/>
      <c r="GZ137" s="342"/>
      <c r="HA137" s="342"/>
      <c r="HB137" s="342">
        <f t="shared" si="1791"/>
        <v>1</v>
      </c>
      <c r="HC137" s="342">
        <f t="shared" si="1792"/>
        <v>0</v>
      </c>
      <c r="HD137" s="342">
        <f t="shared" si="1793"/>
        <v>0</v>
      </c>
      <c r="HE137" s="342">
        <f t="shared" si="1794"/>
        <v>0</v>
      </c>
      <c r="HF137" s="342">
        <f t="shared" si="1795"/>
        <v>0</v>
      </c>
      <c r="HG137" s="343"/>
      <c r="HI137" s="147"/>
      <c r="HJ137" s="147"/>
      <c r="HK137" s="147"/>
      <c r="HL137" s="344"/>
      <c r="HM137" s="342"/>
      <c r="HN137" s="342"/>
      <c r="HO137" s="342">
        <f t="shared" si="1796"/>
        <v>1</v>
      </c>
      <c r="HP137" s="342">
        <f t="shared" si="1797"/>
        <v>0</v>
      </c>
      <c r="HQ137" s="342">
        <f t="shared" si="1798"/>
        <v>0</v>
      </c>
      <c r="HR137" s="342">
        <f t="shared" si="1799"/>
        <v>0</v>
      </c>
      <c r="HS137" s="342">
        <f t="shared" si="1800"/>
        <v>0</v>
      </c>
      <c r="HT137" s="343"/>
      <c r="HV137" s="147"/>
      <c r="HW137" s="147"/>
      <c r="HX137" s="147"/>
      <c r="HY137" s="344"/>
      <c r="HZ137" s="342"/>
      <c r="IA137" s="342"/>
      <c r="IB137" s="342">
        <f t="shared" si="1801"/>
        <v>1</v>
      </c>
      <c r="IC137" s="342">
        <f t="shared" si="1802"/>
        <v>0</v>
      </c>
      <c r="ID137" s="342">
        <f t="shared" si="1803"/>
        <v>0</v>
      </c>
      <c r="IE137" s="342">
        <f t="shared" si="1804"/>
        <v>0</v>
      </c>
      <c r="IF137" s="342">
        <f t="shared" si="1805"/>
        <v>0</v>
      </c>
      <c r="IG137" s="343"/>
      <c r="II137" s="147"/>
      <c r="IJ137" s="147"/>
      <c r="IK137" s="147"/>
      <c r="IL137" s="344"/>
      <c r="IM137" s="342"/>
      <c r="IN137" s="342"/>
      <c r="IO137" s="342">
        <f t="shared" si="1806"/>
        <v>1</v>
      </c>
      <c r="IP137" s="342">
        <f t="shared" si="1807"/>
        <v>0</v>
      </c>
      <c r="IQ137" s="342">
        <f t="shared" si="1808"/>
        <v>0</v>
      </c>
      <c r="IR137" s="342">
        <f t="shared" si="1809"/>
        <v>0</v>
      </c>
      <c r="IS137" s="342">
        <f t="shared" si="1810"/>
        <v>0</v>
      </c>
      <c r="IT137" s="343"/>
      <c r="IV137" s="147"/>
      <c r="IW137" s="147"/>
      <c r="IX137" s="147"/>
      <c r="IY137" s="344"/>
      <c r="IZ137" s="342"/>
      <c r="JA137" s="342"/>
      <c r="JB137" s="342">
        <f t="shared" si="1811"/>
        <v>1</v>
      </c>
      <c r="JC137" s="342">
        <f t="shared" si="1812"/>
        <v>0</v>
      </c>
      <c r="JD137" s="342">
        <f t="shared" si="1813"/>
        <v>0</v>
      </c>
      <c r="JE137" s="342">
        <f t="shared" si="1814"/>
        <v>0</v>
      </c>
      <c r="JF137" s="342">
        <f t="shared" si="1815"/>
        <v>0</v>
      </c>
      <c r="JG137" s="343"/>
      <c r="JI137" s="147"/>
      <c r="JJ137" s="147"/>
      <c r="JK137" s="147"/>
      <c r="JL137" s="344"/>
      <c r="JM137" s="342"/>
      <c r="JN137" s="342"/>
      <c r="JO137" s="342">
        <f t="shared" si="1816"/>
        <v>1</v>
      </c>
      <c r="JP137" s="342">
        <f t="shared" si="1817"/>
        <v>0</v>
      </c>
      <c r="JQ137" s="342">
        <f t="shared" si="1818"/>
        <v>0</v>
      </c>
      <c r="JR137" s="342">
        <f t="shared" si="1819"/>
        <v>0</v>
      </c>
      <c r="JS137" s="342">
        <f t="shared" si="1820"/>
        <v>0</v>
      </c>
      <c r="JT137" s="343"/>
      <c r="JV137" s="147"/>
      <c r="JW137" s="147"/>
      <c r="JX137" s="147"/>
      <c r="JY137" s="344"/>
      <c r="JZ137" s="342"/>
      <c r="KA137" s="342"/>
      <c r="KB137" s="342">
        <f t="shared" si="1821"/>
        <v>1</v>
      </c>
      <c r="KC137" s="342">
        <f t="shared" si="1822"/>
        <v>0</v>
      </c>
      <c r="KD137" s="342">
        <f t="shared" si="1823"/>
        <v>0</v>
      </c>
      <c r="KE137" s="342">
        <f t="shared" si="1824"/>
        <v>0</v>
      </c>
      <c r="KF137" s="342">
        <f t="shared" si="1825"/>
        <v>0</v>
      </c>
      <c r="KG137" s="343"/>
      <c r="KI137" s="147"/>
      <c r="KJ137" s="147"/>
      <c r="KK137" s="147"/>
      <c r="KL137" s="344"/>
      <c r="KM137" s="342"/>
      <c r="KN137" s="342"/>
      <c r="KO137" s="342">
        <f t="shared" si="1826"/>
        <v>1</v>
      </c>
      <c r="KP137" s="342">
        <f t="shared" si="1827"/>
        <v>0</v>
      </c>
      <c r="KQ137" s="342">
        <f t="shared" si="1828"/>
        <v>0</v>
      </c>
      <c r="KR137" s="342">
        <f t="shared" si="1829"/>
        <v>0</v>
      </c>
      <c r="KS137" s="342">
        <f t="shared" si="1830"/>
        <v>0</v>
      </c>
      <c r="KT137" s="343"/>
      <c r="KV137" s="147"/>
      <c r="KW137" s="147"/>
      <c r="KX137" s="147"/>
      <c r="KY137" s="344"/>
      <c r="KZ137" s="342"/>
      <c r="LA137" s="342"/>
      <c r="LB137" s="342">
        <f t="shared" si="1831"/>
        <v>1</v>
      </c>
      <c r="LC137" s="342">
        <f t="shared" si="1832"/>
        <v>0</v>
      </c>
      <c r="LD137" s="342">
        <f t="shared" si="1833"/>
        <v>0</v>
      </c>
      <c r="LE137" s="342">
        <f t="shared" si="1834"/>
        <v>0</v>
      </c>
      <c r="LF137" s="342">
        <f t="shared" si="1835"/>
        <v>0</v>
      </c>
      <c r="LG137" s="343"/>
      <c r="LI137" s="147"/>
      <c r="LJ137" s="147"/>
      <c r="LK137" s="147"/>
      <c r="LL137" s="344"/>
      <c r="LM137" s="342"/>
      <c r="LN137" s="342"/>
      <c r="LO137" s="342">
        <f t="shared" si="1836"/>
        <v>1</v>
      </c>
      <c r="LP137" s="342">
        <f t="shared" si="1837"/>
        <v>0</v>
      </c>
      <c r="LQ137" s="342">
        <f t="shared" si="1838"/>
        <v>0</v>
      </c>
      <c r="LR137" s="342">
        <f t="shared" si="1839"/>
        <v>0</v>
      </c>
      <c r="LS137" s="342">
        <f t="shared" si="1840"/>
        <v>0</v>
      </c>
      <c r="LT137" s="343"/>
      <c r="LV137" s="147"/>
      <c r="LW137" s="147"/>
      <c r="LX137" s="147"/>
      <c r="LY137" s="344"/>
      <c r="LZ137" s="342"/>
      <c r="MA137" s="342"/>
      <c r="MB137" s="342">
        <f t="shared" si="1841"/>
        <v>1</v>
      </c>
      <c r="MC137" s="342">
        <f t="shared" si="1842"/>
        <v>0</v>
      </c>
      <c r="MD137" s="342">
        <f t="shared" si="1843"/>
        <v>0</v>
      </c>
      <c r="ME137" s="342">
        <f t="shared" si="1844"/>
        <v>0</v>
      </c>
      <c r="MF137" s="342">
        <f t="shared" si="1845"/>
        <v>0</v>
      </c>
      <c r="MG137" s="343"/>
    </row>
    <row r="138" spans="2:345" ht="45.75" customHeight="1">
      <c r="B138" s="849"/>
      <c r="C138" s="850"/>
      <c r="D138" s="850"/>
      <c r="E138" s="850"/>
      <c r="F138" s="850"/>
      <c r="G138" s="850"/>
      <c r="H138" s="851"/>
      <c r="I138" s="293"/>
      <c r="J138" s="147"/>
      <c r="K138" s="147"/>
      <c r="L138" s="344"/>
      <c r="M138" s="342"/>
      <c r="N138" s="342"/>
      <c r="O138" s="342">
        <f t="shared" si="1716"/>
        <v>1</v>
      </c>
      <c r="P138" s="342">
        <f t="shared" si="1717"/>
        <v>0</v>
      </c>
      <c r="Q138" s="342">
        <f t="shared" si="1718"/>
        <v>0</v>
      </c>
      <c r="R138" s="342">
        <f t="shared" si="1719"/>
        <v>0</v>
      </c>
      <c r="S138" s="342">
        <f t="shared" si="1720"/>
        <v>0</v>
      </c>
      <c r="T138" s="343"/>
      <c r="V138" s="147"/>
      <c r="W138" s="147"/>
      <c r="X138" s="147"/>
      <c r="Y138" s="344"/>
      <c r="Z138" s="342"/>
      <c r="AA138" s="342"/>
      <c r="AB138" s="342">
        <f t="shared" si="1721"/>
        <v>1</v>
      </c>
      <c r="AC138" s="342">
        <f t="shared" si="1722"/>
        <v>0</v>
      </c>
      <c r="AD138" s="342">
        <f t="shared" si="1723"/>
        <v>0</v>
      </c>
      <c r="AE138" s="342">
        <f t="shared" si="1724"/>
        <v>0</v>
      </c>
      <c r="AF138" s="342">
        <f t="shared" si="1725"/>
        <v>0</v>
      </c>
      <c r="AG138" s="343"/>
      <c r="AI138" s="147"/>
      <c r="AJ138" s="147"/>
      <c r="AK138" s="147"/>
      <c r="AL138" s="344"/>
      <c r="AM138" s="342"/>
      <c r="AN138" s="342"/>
      <c r="AO138" s="342">
        <f t="shared" si="1726"/>
        <v>1</v>
      </c>
      <c r="AP138" s="342">
        <f t="shared" si="1727"/>
        <v>0</v>
      </c>
      <c r="AQ138" s="342">
        <f t="shared" si="1728"/>
        <v>0</v>
      </c>
      <c r="AR138" s="342">
        <f t="shared" si="1729"/>
        <v>0</v>
      </c>
      <c r="AS138" s="342">
        <f t="shared" si="1730"/>
        <v>0</v>
      </c>
      <c r="AT138" s="343"/>
      <c r="AV138" s="147"/>
      <c r="AW138" s="147"/>
      <c r="AX138" s="147"/>
      <c r="AY138" s="344"/>
      <c r="AZ138" s="342"/>
      <c r="BA138" s="342"/>
      <c r="BB138" s="342">
        <f t="shared" si="1731"/>
        <v>1</v>
      </c>
      <c r="BC138" s="342">
        <f t="shared" si="1732"/>
        <v>0</v>
      </c>
      <c r="BD138" s="342">
        <f t="shared" si="1733"/>
        <v>0</v>
      </c>
      <c r="BE138" s="342">
        <f t="shared" si="1734"/>
        <v>0</v>
      </c>
      <c r="BF138" s="342">
        <f t="shared" si="1735"/>
        <v>0</v>
      </c>
      <c r="BG138" s="343"/>
      <c r="BI138" s="147"/>
      <c r="BJ138" s="147"/>
      <c r="BK138" s="147"/>
      <c r="BL138" s="344"/>
      <c r="BM138" s="342"/>
      <c r="BN138" s="342"/>
      <c r="BO138" s="342">
        <f t="shared" si="1736"/>
        <v>1</v>
      </c>
      <c r="BP138" s="342">
        <f t="shared" si="1737"/>
        <v>0</v>
      </c>
      <c r="BQ138" s="342">
        <f t="shared" si="1738"/>
        <v>0</v>
      </c>
      <c r="BR138" s="342">
        <f t="shared" si="1739"/>
        <v>0</v>
      </c>
      <c r="BS138" s="342">
        <f t="shared" si="1740"/>
        <v>0</v>
      </c>
      <c r="BT138" s="343"/>
      <c r="BV138" s="147"/>
      <c r="BW138" s="147"/>
      <c r="BX138" s="147"/>
      <c r="BY138" s="344"/>
      <c r="BZ138" s="342"/>
      <c r="CA138" s="342"/>
      <c r="CB138" s="342">
        <f t="shared" si="1741"/>
        <v>1</v>
      </c>
      <c r="CC138" s="342">
        <f t="shared" si="1742"/>
        <v>0</v>
      </c>
      <c r="CD138" s="342">
        <f t="shared" si="1743"/>
        <v>0</v>
      </c>
      <c r="CE138" s="342">
        <f t="shared" si="1744"/>
        <v>0</v>
      </c>
      <c r="CF138" s="342">
        <f t="shared" si="1745"/>
        <v>0</v>
      </c>
      <c r="CG138" s="343"/>
      <c r="CI138" s="147"/>
      <c r="CJ138" s="147"/>
      <c r="CK138" s="147"/>
      <c r="CL138" s="344"/>
      <c r="CM138" s="342"/>
      <c r="CN138" s="342"/>
      <c r="CO138" s="342">
        <f t="shared" si="1746"/>
        <v>1</v>
      </c>
      <c r="CP138" s="342">
        <f t="shared" si="1747"/>
        <v>0</v>
      </c>
      <c r="CQ138" s="342">
        <f t="shared" si="1748"/>
        <v>0</v>
      </c>
      <c r="CR138" s="342">
        <f t="shared" si="1749"/>
        <v>0</v>
      </c>
      <c r="CS138" s="342">
        <f t="shared" si="1750"/>
        <v>0</v>
      </c>
      <c r="CT138" s="343"/>
      <c r="CV138" s="147"/>
      <c r="CW138" s="147"/>
      <c r="CX138" s="147"/>
      <c r="CY138" s="344"/>
      <c r="CZ138" s="342"/>
      <c r="DA138" s="342"/>
      <c r="DB138" s="342">
        <f t="shared" si="1751"/>
        <v>1</v>
      </c>
      <c r="DC138" s="342">
        <f t="shared" si="1752"/>
        <v>0</v>
      </c>
      <c r="DD138" s="342">
        <f t="shared" si="1753"/>
        <v>0</v>
      </c>
      <c r="DE138" s="342">
        <f t="shared" si="1754"/>
        <v>0</v>
      </c>
      <c r="DF138" s="342">
        <f t="shared" si="1755"/>
        <v>0</v>
      </c>
      <c r="DG138" s="343"/>
      <c r="DI138" s="147"/>
      <c r="DJ138" s="147"/>
      <c r="DK138" s="147"/>
      <c r="DL138" s="344"/>
      <c r="DM138" s="342"/>
      <c r="DN138" s="342"/>
      <c r="DO138" s="342">
        <f t="shared" si="1756"/>
        <v>1</v>
      </c>
      <c r="DP138" s="342">
        <f t="shared" si="1757"/>
        <v>0</v>
      </c>
      <c r="DQ138" s="342">
        <f t="shared" si="1758"/>
        <v>0</v>
      </c>
      <c r="DR138" s="342">
        <f t="shared" si="1759"/>
        <v>0</v>
      </c>
      <c r="DS138" s="342">
        <f t="shared" si="1760"/>
        <v>0</v>
      </c>
      <c r="DT138" s="343"/>
      <c r="DV138" s="147"/>
      <c r="DW138" s="147"/>
      <c r="DX138" s="147"/>
      <c r="DY138" s="344"/>
      <c r="DZ138" s="342"/>
      <c r="EA138" s="342"/>
      <c r="EB138" s="342">
        <f t="shared" si="1761"/>
        <v>1</v>
      </c>
      <c r="EC138" s="342">
        <f t="shared" si="1762"/>
        <v>0</v>
      </c>
      <c r="ED138" s="342">
        <f t="shared" si="1763"/>
        <v>0</v>
      </c>
      <c r="EE138" s="342">
        <f t="shared" si="1764"/>
        <v>0</v>
      </c>
      <c r="EF138" s="342">
        <f t="shared" si="1765"/>
        <v>0</v>
      </c>
      <c r="EG138" s="343"/>
      <c r="EI138" s="147"/>
      <c r="EJ138" s="147"/>
      <c r="EK138" s="147"/>
      <c r="EL138" s="344"/>
      <c r="EM138" s="342"/>
      <c r="EN138" s="342"/>
      <c r="EO138" s="342">
        <f t="shared" si="1766"/>
        <v>1</v>
      </c>
      <c r="EP138" s="342">
        <f t="shared" si="1767"/>
        <v>0</v>
      </c>
      <c r="EQ138" s="342">
        <f t="shared" si="1768"/>
        <v>0</v>
      </c>
      <c r="ER138" s="342">
        <f t="shared" si="1769"/>
        <v>0</v>
      </c>
      <c r="ES138" s="342">
        <f t="shared" si="1770"/>
        <v>0</v>
      </c>
      <c r="ET138" s="343"/>
      <c r="EV138" s="147"/>
      <c r="EW138" s="147"/>
      <c r="EX138" s="147"/>
      <c r="EY138" s="344"/>
      <c r="EZ138" s="342"/>
      <c r="FA138" s="342"/>
      <c r="FB138" s="342">
        <f t="shared" si="1771"/>
        <v>1</v>
      </c>
      <c r="FC138" s="342">
        <f t="shared" si="1772"/>
        <v>0</v>
      </c>
      <c r="FD138" s="342">
        <f t="shared" si="1773"/>
        <v>0</v>
      </c>
      <c r="FE138" s="342">
        <f t="shared" si="1774"/>
        <v>0</v>
      </c>
      <c r="FF138" s="342">
        <f t="shared" si="1775"/>
        <v>0</v>
      </c>
      <c r="FG138" s="343"/>
      <c r="FI138" s="147"/>
      <c r="FJ138" s="147"/>
      <c r="FK138" s="147"/>
      <c r="FL138" s="344"/>
      <c r="FM138" s="342"/>
      <c r="FN138" s="342"/>
      <c r="FO138" s="342">
        <f t="shared" si="1776"/>
        <v>1</v>
      </c>
      <c r="FP138" s="342">
        <f t="shared" si="1777"/>
        <v>0</v>
      </c>
      <c r="FQ138" s="342">
        <f t="shared" si="1778"/>
        <v>0</v>
      </c>
      <c r="FR138" s="342">
        <f t="shared" si="1779"/>
        <v>0</v>
      </c>
      <c r="FS138" s="342">
        <f t="shared" si="1780"/>
        <v>0</v>
      </c>
      <c r="FT138" s="343"/>
      <c r="FV138" s="147"/>
      <c r="FW138" s="147"/>
      <c r="FX138" s="147"/>
      <c r="FY138" s="344"/>
      <c r="FZ138" s="342"/>
      <c r="GA138" s="342"/>
      <c r="GB138" s="342">
        <f t="shared" si="1781"/>
        <v>1</v>
      </c>
      <c r="GC138" s="342">
        <f t="shared" si="1782"/>
        <v>0</v>
      </c>
      <c r="GD138" s="342">
        <f t="shared" si="1783"/>
        <v>0</v>
      </c>
      <c r="GE138" s="342">
        <f t="shared" si="1784"/>
        <v>0</v>
      </c>
      <c r="GF138" s="342">
        <f t="shared" si="1785"/>
        <v>0</v>
      </c>
      <c r="GG138" s="343"/>
      <c r="GI138" s="147"/>
      <c r="GJ138" s="147"/>
      <c r="GK138" s="147"/>
      <c r="GL138" s="344"/>
      <c r="GM138" s="342"/>
      <c r="GN138" s="342"/>
      <c r="GO138" s="342">
        <f t="shared" si="1786"/>
        <v>1</v>
      </c>
      <c r="GP138" s="342">
        <f t="shared" si="1787"/>
        <v>0</v>
      </c>
      <c r="GQ138" s="342">
        <f t="shared" si="1788"/>
        <v>0</v>
      </c>
      <c r="GR138" s="342">
        <f t="shared" si="1789"/>
        <v>0</v>
      </c>
      <c r="GS138" s="342">
        <f t="shared" si="1790"/>
        <v>0</v>
      </c>
      <c r="GT138" s="343"/>
      <c r="GV138" s="147"/>
      <c r="GW138" s="147"/>
      <c r="GX138" s="147"/>
      <c r="GY138" s="344"/>
      <c r="GZ138" s="342"/>
      <c r="HA138" s="342"/>
      <c r="HB138" s="342">
        <f t="shared" si="1791"/>
        <v>1</v>
      </c>
      <c r="HC138" s="342">
        <f t="shared" si="1792"/>
        <v>0</v>
      </c>
      <c r="HD138" s="342">
        <f t="shared" si="1793"/>
        <v>0</v>
      </c>
      <c r="HE138" s="342">
        <f t="shared" si="1794"/>
        <v>0</v>
      </c>
      <c r="HF138" s="342">
        <f t="shared" si="1795"/>
        <v>0</v>
      </c>
      <c r="HG138" s="343"/>
      <c r="HI138" s="147"/>
      <c r="HJ138" s="147"/>
      <c r="HK138" s="147"/>
      <c r="HL138" s="344"/>
      <c r="HM138" s="342"/>
      <c r="HN138" s="342"/>
      <c r="HO138" s="342">
        <f t="shared" si="1796"/>
        <v>1</v>
      </c>
      <c r="HP138" s="342">
        <f t="shared" si="1797"/>
        <v>0</v>
      </c>
      <c r="HQ138" s="342">
        <f t="shared" si="1798"/>
        <v>0</v>
      </c>
      <c r="HR138" s="342">
        <f t="shared" si="1799"/>
        <v>0</v>
      </c>
      <c r="HS138" s="342">
        <f t="shared" si="1800"/>
        <v>0</v>
      </c>
      <c r="HT138" s="343"/>
      <c r="HV138" s="147"/>
      <c r="HW138" s="147"/>
      <c r="HX138" s="147"/>
      <c r="HY138" s="344"/>
      <c r="HZ138" s="342"/>
      <c r="IA138" s="342"/>
      <c r="IB138" s="342">
        <f t="shared" si="1801"/>
        <v>1</v>
      </c>
      <c r="IC138" s="342">
        <f t="shared" si="1802"/>
        <v>0</v>
      </c>
      <c r="ID138" s="342">
        <f t="shared" si="1803"/>
        <v>0</v>
      </c>
      <c r="IE138" s="342">
        <f t="shared" si="1804"/>
        <v>0</v>
      </c>
      <c r="IF138" s="342">
        <f t="shared" si="1805"/>
        <v>0</v>
      </c>
      <c r="IG138" s="343"/>
      <c r="II138" s="147"/>
      <c r="IJ138" s="147"/>
      <c r="IK138" s="147"/>
      <c r="IL138" s="344"/>
      <c r="IM138" s="342"/>
      <c r="IN138" s="342"/>
      <c r="IO138" s="342">
        <f t="shared" si="1806"/>
        <v>1</v>
      </c>
      <c r="IP138" s="342">
        <f t="shared" si="1807"/>
        <v>0</v>
      </c>
      <c r="IQ138" s="342">
        <f t="shared" si="1808"/>
        <v>0</v>
      </c>
      <c r="IR138" s="342">
        <f t="shared" si="1809"/>
        <v>0</v>
      </c>
      <c r="IS138" s="342">
        <f t="shared" si="1810"/>
        <v>0</v>
      </c>
      <c r="IT138" s="343"/>
      <c r="IV138" s="147"/>
      <c r="IW138" s="147"/>
      <c r="IX138" s="147"/>
      <c r="IY138" s="344"/>
      <c r="IZ138" s="342"/>
      <c r="JA138" s="342"/>
      <c r="JB138" s="342">
        <f t="shared" si="1811"/>
        <v>1</v>
      </c>
      <c r="JC138" s="342">
        <f t="shared" si="1812"/>
        <v>0</v>
      </c>
      <c r="JD138" s="342">
        <f t="shared" si="1813"/>
        <v>0</v>
      </c>
      <c r="JE138" s="342">
        <f t="shared" si="1814"/>
        <v>0</v>
      </c>
      <c r="JF138" s="342">
        <f t="shared" si="1815"/>
        <v>0</v>
      </c>
      <c r="JG138" s="343"/>
      <c r="JI138" s="147"/>
      <c r="JJ138" s="147"/>
      <c r="JK138" s="147"/>
      <c r="JL138" s="344"/>
      <c r="JM138" s="342"/>
      <c r="JN138" s="342"/>
      <c r="JO138" s="342">
        <f t="shared" si="1816"/>
        <v>1</v>
      </c>
      <c r="JP138" s="342">
        <f t="shared" si="1817"/>
        <v>0</v>
      </c>
      <c r="JQ138" s="342">
        <f t="shared" si="1818"/>
        <v>0</v>
      </c>
      <c r="JR138" s="342">
        <f t="shared" si="1819"/>
        <v>0</v>
      </c>
      <c r="JS138" s="342">
        <f t="shared" si="1820"/>
        <v>0</v>
      </c>
      <c r="JT138" s="343"/>
      <c r="JV138" s="147"/>
      <c r="JW138" s="147"/>
      <c r="JX138" s="147"/>
      <c r="JY138" s="344"/>
      <c r="JZ138" s="342"/>
      <c r="KA138" s="342"/>
      <c r="KB138" s="342">
        <f t="shared" si="1821"/>
        <v>1</v>
      </c>
      <c r="KC138" s="342">
        <f t="shared" si="1822"/>
        <v>0</v>
      </c>
      <c r="KD138" s="342">
        <f t="shared" si="1823"/>
        <v>0</v>
      </c>
      <c r="KE138" s="342">
        <f t="shared" si="1824"/>
        <v>0</v>
      </c>
      <c r="KF138" s="342">
        <f t="shared" si="1825"/>
        <v>0</v>
      </c>
      <c r="KG138" s="343"/>
      <c r="KI138" s="147"/>
      <c r="KJ138" s="147"/>
      <c r="KK138" s="147"/>
      <c r="KL138" s="344"/>
      <c r="KM138" s="342"/>
      <c r="KN138" s="342"/>
      <c r="KO138" s="342">
        <f t="shared" si="1826"/>
        <v>1</v>
      </c>
      <c r="KP138" s="342">
        <f t="shared" si="1827"/>
        <v>0</v>
      </c>
      <c r="KQ138" s="342">
        <f t="shared" si="1828"/>
        <v>0</v>
      </c>
      <c r="KR138" s="342">
        <f t="shared" si="1829"/>
        <v>0</v>
      </c>
      <c r="KS138" s="342">
        <f t="shared" si="1830"/>
        <v>0</v>
      </c>
      <c r="KT138" s="343"/>
      <c r="KV138" s="147"/>
      <c r="KW138" s="147"/>
      <c r="KX138" s="147"/>
      <c r="KY138" s="344"/>
      <c r="KZ138" s="342"/>
      <c r="LA138" s="342"/>
      <c r="LB138" s="342">
        <f t="shared" si="1831"/>
        <v>1</v>
      </c>
      <c r="LC138" s="342">
        <f t="shared" si="1832"/>
        <v>0</v>
      </c>
      <c r="LD138" s="342">
        <f t="shared" si="1833"/>
        <v>0</v>
      </c>
      <c r="LE138" s="342">
        <f t="shared" si="1834"/>
        <v>0</v>
      </c>
      <c r="LF138" s="342">
        <f t="shared" si="1835"/>
        <v>0</v>
      </c>
      <c r="LG138" s="343"/>
      <c r="LI138" s="147"/>
      <c r="LJ138" s="147"/>
      <c r="LK138" s="147"/>
      <c r="LL138" s="344"/>
      <c r="LM138" s="342"/>
      <c r="LN138" s="342"/>
      <c r="LO138" s="342">
        <f t="shared" si="1836"/>
        <v>1</v>
      </c>
      <c r="LP138" s="342">
        <f t="shared" si="1837"/>
        <v>0</v>
      </c>
      <c r="LQ138" s="342">
        <f t="shared" si="1838"/>
        <v>0</v>
      </c>
      <c r="LR138" s="342">
        <f t="shared" si="1839"/>
        <v>0</v>
      </c>
      <c r="LS138" s="342">
        <f t="shared" si="1840"/>
        <v>0</v>
      </c>
      <c r="LT138" s="343"/>
      <c r="LV138" s="147"/>
      <c r="LW138" s="147"/>
      <c r="LX138" s="147"/>
      <c r="LY138" s="344"/>
      <c r="LZ138" s="342"/>
      <c r="MA138" s="342"/>
      <c r="MB138" s="342">
        <f t="shared" si="1841"/>
        <v>1</v>
      </c>
      <c r="MC138" s="342">
        <f t="shared" si="1842"/>
        <v>0</v>
      </c>
      <c r="MD138" s="342">
        <f t="shared" si="1843"/>
        <v>0</v>
      </c>
      <c r="ME138" s="342">
        <f t="shared" si="1844"/>
        <v>0</v>
      </c>
      <c r="MF138" s="342">
        <f t="shared" si="1845"/>
        <v>0</v>
      </c>
      <c r="MG138" s="343"/>
    </row>
    <row r="139" spans="2:345" ht="15.75" customHeight="1">
      <c r="B139" s="849" t="str">
        <f>Language!$E$232</f>
        <v>De factoren voor de individuele categorieën en andere instellingen vóóraf kunnen opgevoerd worden op het tabblad: 'Prsettings'.</v>
      </c>
      <c r="C139" s="850"/>
      <c r="D139" s="850"/>
      <c r="E139" s="850"/>
      <c r="F139" s="850"/>
      <c r="G139" s="850"/>
      <c r="H139" s="851"/>
      <c r="L139" s="343"/>
      <c r="M139" s="343"/>
      <c r="N139" s="343"/>
      <c r="O139" s="342">
        <f t="shared" si="1716"/>
        <v>1</v>
      </c>
      <c r="P139" s="342">
        <f t="shared" si="1717"/>
        <v>0</v>
      </c>
      <c r="Q139" s="342">
        <f t="shared" si="1718"/>
        <v>0</v>
      </c>
      <c r="R139" s="342">
        <f t="shared" si="1719"/>
        <v>0</v>
      </c>
      <c r="S139" s="342">
        <f t="shared" si="1720"/>
        <v>0</v>
      </c>
      <c r="T139" s="343"/>
      <c r="Y139" s="343"/>
      <c r="Z139" s="343"/>
      <c r="AA139" s="343"/>
      <c r="AB139" s="342">
        <f t="shared" si="1721"/>
        <v>1</v>
      </c>
      <c r="AC139" s="342">
        <f t="shared" si="1722"/>
        <v>0</v>
      </c>
      <c r="AD139" s="342">
        <f t="shared" si="1723"/>
        <v>0</v>
      </c>
      <c r="AE139" s="342">
        <f t="shared" si="1724"/>
        <v>0</v>
      </c>
      <c r="AF139" s="342">
        <f t="shared" si="1725"/>
        <v>0</v>
      </c>
      <c r="AG139" s="343"/>
      <c r="AL139" s="343"/>
      <c r="AM139" s="343"/>
      <c r="AN139" s="343"/>
      <c r="AO139" s="342">
        <f t="shared" si="1726"/>
        <v>1</v>
      </c>
      <c r="AP139" s="342">
        <f t="shared" si="1727"/>
        <v>0</v>
      </c>
      <c r="AQ139" s="342">
        <f t="shared" si="1728"/>
        <v>0</v>
      </c>
      <c r="AR139" s="342">
        <f t="shared" si="1729"/>
        <v>0</v>
      </c>
      <c r="AS139" s="342">
        <f t="shared" si="1730"/>
        <v>0</v>
      </c>
      <c r="AT139" s="343"/>
      <c r="AY139" s="343"/>
      <c r="AZ139" s="343"/>
      <c r="BA139" s="343"/>
      <c r="BB139" s="342">
        <f t="shared" si="1731"/>
        <v>1</v>
      </c>
      <c r="BC139" s="342">
        <f t="shared" si="1732"/>
        <v>0</v>
      </c>
      <c r="BD139" s="342">
        <f t="shared" si="1733"/>
        <v>0</v>
      </c>
      <c r="BE139" s="342">
        <f t="shared" si="1734"/>
        <v>0</v>
      </c>
      <c r="BF139" s="342">
        <f t="shared" si="1735"/>
        <v>0</v>
      </c>
      <c r="BG139" s="343"/>
      <c r="BL139" s="343"/>
      <c r="BM139" s="343"/>
      <c r="BN139" s="343"/>
      <c r="BO139" s="342">
        <f t="shared" si="1736"/>
        <v>1</v>
      </c>
      <c r="BP139" s="342">
        <f t="shared" si="1737"/>
        <v>0</v>
      </c>
      <c r="BQ139" s="342">
        <f t="shared" si="1738"/>
        <v>0</v>
      </c>
      <c r="BR139" s="342">
        <f t="shared" si="1739"/>
        <v>0</v>
      </c>
      <c r="BS139" s="342">
        <f t="shared" si="1740"/>
        <v>0</v>
      </c>
      <c r="BT139" s="343"/>
      <c r="BY139" s="343"/>
      <c r="BZ139" s="343"/>
      <c r="CA139" s="343"/>
      <c r="CB139" s="342">
        <f t="shared" si="1741"/>
        <v>1</v>
      </c>
      <c r="CC139" s="342">
        <f t="shared" si="1742"/>
        <v>0</v>
      </c>
      <c r="CD139" s="342">
        <f t="shared" si="1743"/>
        <v>0</v>
      </c>
      <c r="CE139" s="342">
        <f t="shared" si="1744"/>
        <v>0</v>
      </c>
      <c r="CF139" s="342">
        <f t="shared" si="1745"/>
        <v>0</v>
      </c>
      <c r="CG139" s="343"/>
      <c r="CL139" s="343"/>
      <c r="CM139" s="343"/>
      <c r="CN139" s="343"/>
      <c r="CO139" s="342">
        <f t="shared" si="1746"/>
        <v>1</v>
      </c>
      <c r="CP139" s="342">
        <f t="shared" si="1747"/>
        <v>0</v>
      </c>
      <c r="CQ139" s="342">
        <f t="shared" si="1748"/>
        <v>0</v>
      </c>
      <c r="CR139" s="342">
        <f t="shared" si="1749"/>
        <v>0</v>
      </c>
      <c r="CS139" s="342">
        <f t="shared" si="1750"/>
        <v>0</v>
      </c>
      <c r="CT139" s="343"/>
      <c r="CY139" s="343"/>
      <c r="CZ139" s="343"/>
      <c r="DA139" s="343"/>
      <c r="DB139" s="342">
        <f t="shared" si="1751"/>
        <v>1</v>
      </c>
      <c r="DC139" s="342">
        <f t="shared" si="1752"/>
        <v>0</v>
      </c>
      <c r="DD139" s="342">
        <f t="shared" si="1753"/>
        <v>0</v>
      </c>
      <c r="DE139" s="342">
        <f t="shared" si="1754"/>
        <v>0</v>
      </c>
      <c r="DF139" s="342">
        <f t="shared" si="1755"/>
        <v>0</v>
      </c>
      <c r="DG139" s="343"/>
      <c r="DL139" s="343"/>
      <c r="DM139" s="343"/>
      <c r="DN139" s="343"/>
      <c r="DO139" s="342">
        <f t="shared" si="1756"/>
        <v>1</v>
      </c>
      <c r="DP139" s="342">
        <f t="shared" si="1757"/>
        <v>0</v>
      </c>
      <c r="DQ139" s="342">
        <f t="shared" si="1758"/>
        <v>0</v>
      </c>
      <c r="DR139" s="342">
        <f t="shared" si="1759"/>
        <v>0</v>
      </c>
      <c r="DS139" s="342">
        <f t="shared" si="1760"/>
        <v>0</v>
      </c>
      <c r="DT139" s="343"/>
      <c r="DY139" s="343"/>
      <c r="DZ139" s="343"/>
      <c r="EA139" s="343"/>
      <c r="EB139" s="342">
        <f t="shared" si="1761"/>
        <v>1</v>
      </c>
      <c r="EC139" s="342">
        <f t="shared" si="1762"/>
        <v>0</v>
      </c>
      <c r="ED139" s="342">
        <f t="shared" si="1763"/>
        <v>0</v>
      </c>
      <c r="EE139" s="342">
        <f t="shared" si="1764"/>
        <v>0</v>
      </c>
      <c r="EF139" s="342">
        <f t="shared" si="1765"/>
        <v>0</v>
      </c>
      <c r="EG139" s="343"/>
      <c r="EL139" s="343"/>
      <c r="EM139" s="343"/>
      <c r="EN139" s="343"/>
      <c r="EO139" s="342">
        <f t="shared" si="1766"/>
        <v>1</v>
      </c>
      <c r="EP139" s="342">
        <f t="shared" si="1767"/>
        <v>0</v>
      </c>
      <c r="EQ139" s="342">
        <f t="shared" si="1768"/>
        <v>0</v>
      </c>
      <c r="ER139" s="342">
        <f t="shared" si="1769"/>
        <v>0</v>
      </c>
      <c r="ES139" s="342">
        <f t="shared" si="1770"/>
        <v>0</v>
      </c>
      <c r="ET139" s="343"/>
      <c r="EY139" s="343"/>
      <c r="EZ139" s="343"/>
      <c r="FA139" s="343"/>
      <c r="FB139" s="342">
        <f t="shared" si="1771"/>
        <v>1</v>
      </c>
      <c r="FC139" s="342">
        <f t="shared" si="1772"/>
        <v>0</v>
      </c>
      <c r="FD139" s="342">
        <f t="shared" si="1773"/>
        <v>0</v>
      </c>
      <c r="FE139" s="342">
        <f t="shared" si="1774"/>
        <v>0</v>
      </c>
      <c r="FF139" s="342">
        <f t="shared" si="1775"/>
        <v>0</v>
      </c>
      <c r="FG139" s="343"/>
      <c r="FL139" s="343"/>
      <c r="FM139" s="343"/>
      <c r="FN139" s="343"/>
      <c r="FO139" s="342">
        <f t="shared" si="1776"/>
        <v>1</v>
      </c>
      <c r="FP139" s="342">
        <f t="shared" si="1777"/>
        <v>0</v>
      </c>
      <c r="FQ139" s="342">
        <f t="shared" si="1778"/>
        <v>0</v>
      </c>
      <c r="FR139" s="342">
        <f t="shared" si="1779"/>
        <v>0</v>
      </c>
      <c r="FS139" s="342">
        <f t="shared" si="1780"/>
        <v>0</v>
      </c>
      <c r="FT139" s="343"/>
      <c r="FY139" s="343"/>
      <c r="FZ139" s="343"/>
      <c r="GA139" s="343"/>
      <c r="GB139" s="342">
        <f t="shared" si="1781"/>
        <v>1</v>
      </c>
      <c r="GC139" s="342">
        <f t="shared" si="1782"/>
        <v>0</v>
      </c>
      <c r="GD139" s="342">
        <f t="shared" si="1783"/>
        <v>0</v>
      </c>
      <c r="GE139" s="342">
        <f t="shared" si="1784"/>
        <v>0</v>
      </c>
      <c r="GF139" s="342">
        <f t="shared" si="1785"/>
        <v>0</v>
      </c>
      <c r="GG139" s="343"/>
      <c r="GL139" s="343"/>
      <c r="GM139" s="343"/>
      <c r="GN139" s="343"/>
      <c r="GO139" s="342">
        <f t="shared" si="1786"/>
        <v>1</v>
      </c>
      <c r="GP139" s="342">
        <f t="shared" si="1787"/>
        <v>0</v>
      </c>
      <c r="GQ139" s="342">
        <f t="shared" si="1788"/>
        <v>0</v>
      </c>
      <c r="GR139" s="342">
        <f t="shared" si="1789"/>
        <v>0</v>
      </c>
      <c r="GS139" s="342">
        <f t="shared" si="1790"/>
        <v>0</v>
      </c>
      <c r="GT139" s="343"/>
      <c r="GY139" s="343"/>
      <c r="GZ139" s="343"/>
      <c r="HA139" s="343"/>
      <c r="HB139" s="342">
        <f t="shared" si="1791"/>
        <v>1</v>
      </c>
      <c r="HC139" s="342">
        <f t="shared" si="1792"/>
        <v>0</v>
      </c>
      <c r="HD139" s="342">
        <f t="shared" si="1793"/>
        <v>0</v>
      </c>
      <c r="HE139" s="342">
        <f t="shared" si="1794"/>
        <v>0</v>
      </c>
      <c r="HF139" s="342">
        <f t="shared" si="1795"/>
        <v>0</v>
      </c>
      <c r="HG139" s="343"/>
      <c r="HL139" s="343"/>
      <c r="HM139" s="343"/>
      <c r="HN139" s="343"/>
      <c r="HO139" s="342">
        <f t="shared" si="1796"/>
        <v>1</v>
      </c>
      <c r="HP139" s="342">
        <f t="shared" si="1797"/>
        <v>0</v>
      </c>
      <c r="HQ139" s="342">
        <f t="shared" si="1798"/>
        <v>0</v>
      </c>
      <c r="HR139" s="342">
        <f t="shared" si="1799"/>
        <v>0</v>
      </c>
      <c r="HS139" s="342">
        <f t="shared" si="1800"/>
        <v>0</v>
      </c>
      <c r="HT139" s="343"/>
      <c r="HY139" s="343"/>
      <c r="HZ139" s="343"/>
      <c r="IA139" s="343"/>
      <c r="IB139" s="342">
        <f t="shared" si="1801"/>
        <v>1</v>
      </c>
      <c r="IC139" s="342">
        <f t="shared" si="1802"/>
        <v>0</v>
      </c>
      <c r="ID139" s="342">
        <f t="shared" si="1803"/>
        <v>0</v>
      </c>
      <c r="IE139" s="342">
        <f t="shared" si="1804"/>
        <v>0</v>
      </c>
      <c r="IF139" s="342">
        <f t="shared" si="1805"/>
        <v>0</v>
      </c>
      <c r="IG139" s="343"/>
      <c r="IL139" s="343"/>
      <c r="IM139" s="343"/>
      <c r="IN139" s="343"/>
      <c r="IO139" s="342">
        <f t="shared" si="1806"/>
        <v>1</v>
      </c>
      <c r="IP139" s="342">
        <f t="shared" si="1807"/>
        <v>0</v>
      </c>
      <c r="IQ139" s="342">
        <f t="shared" si="1808"/>
        <v>0</v>
      </c>
      <c r="IR139" s="342">
        <f t="shared" si="1809"/>
        <v>0</v>
      </c>
      <c r="IS139" s="342">
        <f t="shared" si="1810"/>
        <v>0</v>
      </c>
      <c r="IT139" s="343"/>
      <c r="IY139" s="343"/>
      <c r="IZ139" s="343"/>
      <c r="JA139" s="343"/>
      <c r="JB139" s="342">
        <f t="shared" si="1811"/>
        <v>1</v>
      </c>
      <c r="JC139" s="342">
        <f t="shared" si="1812"/>
        <v>0</v>
      </c>
      <c r="JD139" s="342">
        <f t="shared" si="1813"/>
        <v>0</v>
      </c>
      <c r="JE139" s="342">
        <f t="shared" si="1814"/>
        <v>0</v>
      </c>
      <c r="JF139" s="342">
        <f t="shared" si="1815"/>
        <v>0</v>
      </c>
      <c r="JG139" s="343"/>
      <c r="JL139" s="343"/>
      <c r="JM139" s="343"/>
      <c r="JN139" s="343"/>
      <c r="JO139" s="342">
        <f t="shared" si="1816"/>
        <v>1</v>
      </c>
      <c r="JP139" s="342">
        <f t="shared" si="1817"/>
        <v>0</v>
      </c>
      <c r="JQ139" s="342">
        <f t="shared" si="1818"/>
        <v>0</v>
      </c>
      <c r="JR139" s="342">
        <f t="shared" si="1819"/>
        <v>0</v>
      </c>
      <c r="JS139" s="342">
        <f t="shared" si="1820"/>
        <v>0</v>
      </c>
      <c r="JT139" s="343"/>
      <c r="JY139" s="343"/>
      <c r="JZ139" s="343"/>
      <c r="KA139" s="343"/>
      <c r="KB139" s="342">
        <f t="shared" si="1821"/>
        <v>1</v>
      </c>
      <c r="KC139" s="342">
        <f t="shared" si="1822"/>
        <v>0</v>
      </c>
      <c r="KD139" s="342">
        <f t="shared" si="1823"/>
        <v>0</v>
      </c>
      <c r="KE139" s="342">
        <f t="shared" si="1824"/>
        <v>0</v>
      </c>
      <c r="KF139" s="342">
        <f t="shared" si="1825"/>
        <v>0</v>
      </c>
      <c r="KG139" s="343"/>
      <c r="KL139" s="343"/>
      <c r="KM139" s="343"/>
      <c r="KN139" s="343"/>
      <c r="KO139" s="342">
        <f t="shared" si="1826"/>
        <v>1</v>
      </c>
      <c r="KP139" s="342">
        <f t="shared" si="1827"/>
        <v>0</v>
      </c>
      <c r="KQ139" s="342">
        <f t="shared" si="1828"/>
        <v>0</v>
      </c>
      <c r="KR139" s="342">
        <f t="shared" si="1829"/>
        <v>0</v>
      </c>
      <c r="KS139" s="342">
        <f t="shared" si="1830"/>
        <v>0</v>
      </c>
      <c r="KT139" s="343"/>
      <c r="KY139" s="343"/>
      <c r="KZ139" s="343"/>
      <c r="LA139" s="343"/>
      <c r="LB139" s="342">
        <f t="shared" si="1831"/>
        <v>1</v>
      </c>
      <c r="LC139" s="342">
        <f t="shared" si="1832"/>
        <v>0</v>
      </c>
      <c r="LD139" s="342">
        <f t="shared" si="1833"/>
        <v>0</v>
      </c>
      <c r="LE139" s="342">
        <f t="shared" si="1834"/>
        <v>0</v>
      </c>
      <c r="LF139" s="342">
        <f t="shared" si="1835"/>
        <v>0</v>
      </c>
      <c r="LG139" s="343"/>
      <c r="LL139" s="343"/>
      <c r="LM139" s="343"/>
      <c r="LN139" s="343"/>
      <c r="LO139" s="342">
        <f t="shared" si="1836"/>
        <v>1</v>
      </c>
      <c r="LP139" s="342">
        <f t="shared" si="1837"/>
        <v>0</v>
      </c>
      <c r="LQ139" s="342">
        <f t="shared" si="1838"/>
        <v>0</v>
      </c>
      <c r="LR139" s="342">
        <f t="shared" si="1839"/>
        <v>0</v>
      </c>
      <c r="LS139" s="342">
        <f t="shared" si="1840"/>
        <v>0</v>
      </c>
      <c r="LT139" s="343"/>
      <c r="LY139" s="343"/>
      <c r="LZ139" s="343"/>
      <c r="MA139" s="343"/>
      <c r="MB139" s="342">
        <f t="shared" si="1841"/>
        <v>1</v>
      </c>
      <c r="MC139" s="342">
        <f t="shared" si="1842"/>
        <v>0</v>
      </c>
      <c r="MD139" s="342">
        <f t="shared" si="1843"/>
        <v>0</v>
      </c>
      <c r="ME139" s="342">
        <f t="shared" si="1844"/>
        <v>0</v>
      </c>
      <c r="MF139" s="342">
        <f t="shared" si="1845"/>
        <v>0</v>
      </c>
      <c r="MG139" s="343"/>
    </row>
    <row r="140" spans="2:345">
      <c r="B140" s="849"/>
      <c r="C140" s="850"/>
      <c r="D140" s="850"/>
      <c r="E140" s="850"/>
      <c r="F140" s="850"/>
      <c r="G140" s="850"/>
      <c r="H140" s="851"/>
      <c r="L140" s="343"/>
      <c r="M140" s="343"/>
      <c r="N140" s="343"/>
      <c r="O140" s="342"/>
      <c r="P140" s="342"/>
      <c r="Q140" s="342"/>
      <c r="R140" s="342"/>
      <c r="S140" s="342"/>
      <c r="T140" s="343"/>
      <c r="Y140" s="343"/>
      <c r="Z140" s="343"/>
      <c r="AA140" s="343"/>
      <c r="AB140" s="342"/>
      <c r="AC140" s="342"/>
      <c r="AD140" s="342"/>
      <c r="AE140" s="342"/>
      <c r="AF140" s="342"/>
      <c r="AG140" s="343"/>
      <c r="AL140" s="343"/>
      <c r="AM140" s="343"/>
      <c r="AN140" s="343"/>
      <c r="AO140" s="342"/>
      <c r="AP140" s="342"/>
      <c r="AQ140" s="342"/>
      <c r="AR140" s="342"/>
      <c r="AS140" s="342"/>
      <c r="AT140" s="343"/>
      <c r="AY140" s="343"/>
      <c r="AZ140" s="343"/>
      <c r="BA140" s="343"/>
      <c r="BB140" s="342"/>
      <c r="BC140" s="342"/>
      <c r="BD140" s="342"/>
      <c r="BE140" s="342"/>
      <c r="BF140" s="342"/>
      <c r="BG140" s="343"/>
      <c r="BL140" s="343"/>
      <c r="BM140" s="343"/>
      <c r="BN140" s="343"/>
      <c r="BO140" s="342"/>
      <c r="BP140" s="342"/>
      <c r="BQ140" s="342"/>
      <c r="BR140" s="342"/>
      <c r="BS140" s="342"/>
      <c r="BT140" s="343"/>
      <c r="BY140" s="343"/>
      <c r="BZ140" s="343"/>
      <c r="CA140" s="343"/>
      <c r="CB140" s="342"/>
      <c r="CC140" s="342"/>
      <c r="CD140" s="342"/>
      <c r="CE140" s="342"/>
      <c r="CF140" s="342"/>
      <c r="CG140" s="343"/>
      <c r="CL140" s="343"/>
      <c r="CM140" s="343"/>
      <c r="CN140" s="343"/>
      <c r="CO140" s="342"/>
      <c r="CP140" s="342"/>
      <c r="CQ140" s="342"/>
      <c r="CR140" s="342"/>
      <c r="CS140" s="342"/>
      <c r="CT140" s="343"/>
      <c r="CY140" s="343"/>
      <c r="CZ140" s="343"/>
      <c r="DA140" s="343"/>
      <c r="DB140" s="342"/>
      <c r="DC140" s="342"/>
      <c r="DD140" s="342"/>
      <c r="DE140" s="342"/>
      <c r="DF140" s="342"/>
      <c r="DG140" s="343"/>
      <c r="DL140" s="343"/>
      <c r="DM140" s="343"/>
      <c r="DN140" s="343"/>
      <c r="DO140" s="342"/>
      <c r="DP140" s="342"/>
      <c r="DQ140" s="342"/>
      <c r="DR140" s="342"/>
      <c r="DS140" s="342"/>
      <c r="DT140" s="343"/>
      <c r="DY140" s="343"/>
      <c r="DZ140" s="343"/>
      <c r="EA140" s="343"/>
      <c r="EB140" s="342"/>
      <c r="EC140" s="342"/>
      <c r="ED140" s="342"/>
      <c r="EE140" s="342"/>
      <c r="EF140" s="342"/>
      <c r="EG140" s="343"/>
      <c r="EL140" s="343"/>
      <c r="EM140" s="343"/>
      <c r="EN140" s="343"/>
      <c r="EO140" s="342"/>
      <c r="EP140" s="342"/>
      <c r="EQ140" s="342"/>
      <c r="ER140" s="342"/>
      <c r="ES140" s="342"/>
      <c r="ET140" s="343"/>
      <c r="EY140" s="343"/>
      <c r="EZ140" s="343"/>
      <c r="FA140" s="343"/>
      <c r="FB140" s="342"/>
      <c r="FC140" s="342"/>
      <c r="FD140" s="342"/>
      <c r="FE140" s="342"/>
      <c r="FF140" s="342"/>
      <c r="FG140" s="343"/>
      <c r="FL140" s="343"/>
      <c r="FM140" s="343"/>
      <c r="FN140" s="343"/>
      <c r="FO140" s="342"/>
      <c r="FP140" s="342"/>
      <c r="FQ140" s="342"/>
      <c r="FR140" s="342"/>
      <c r="FS140" s="342"/>
      <c r="FT140" s="343"/>
      <c r="FY140" s="343"/>
      <c r="FZ140" s="343"/>
      <c r="GA140" s="343"/>
      <c r="GB140" s="342"/>
      <c r="GC140" s="342"/>
      <c r="GD140" s="342"/>
      <c r="GE140" s="342"/>
      <c r="GF140" s="342"/>
      <c r="GG140" s="343"/>
      <c r="GL140" s="343"/>
      <c r="GM140" s="343"/>
      <c r="GN140" s="343"/>
      <c r="GO140" s="342"/>
      <c r="GP140" s="342"/>
      <c r="GQ140" s="342"/>
      <c r="GR140" s="342"/>
      <c r="GS140" s="342"/>
      <c r="GT140" s="343"/>
      <c r="GY140" s="343"/>
      <c r="GZ140" s="343"/>
      <c r="HA140" s="343"/>
      <c r="HB140" s="342"/>
      <c r="HC140" s="342"/>
      <c r="HD140" s="342"/>
      <c r="HE140" s="342"/>
      <c r="HF140" s="342"/>
      <c r="HG140" s="343"/>
      <c r="HL140" s="343"/>
      <c r="HM140" s="343"/>
      <c r="HN140" s="343"/>
      <c r="HO140" s="342"/>
      <c r="HP140" s="342"/>
      <c r="HQ140" s="342"/>
      <c r="HR140" s="342"/>
      <c r="HS140" s="342"/>
      <c r="HT140" s="343"/>
      <c r="HY140" s="343"/>
      <c r="HZ140" s="343"/>
      <c r="IA140" s="343"/>
      <c r="IB140" s="342"/>
      <c r="IC140" s="342"/>
      <c r="ID140" s="342"/>
      <c r="IE140" s="342"/>
      <c r="IF140" s="342"/>
      <c r="IG140" s="343"/>
      <c r="IL140" s="343"/>
      <c r="IM140" s="343"/>
      <c r="IN140" s="343"/>
      <c r="IO140" s="342"/>
      <c r="IP140" s="342"/>
      <c r="IQ140" s="342"/>
      <c r="IR140" s="342"/>
      <c r="IS140" s="342"/>
      <c r="IT140" s="343"/>
      <c r="IY140" s="343"/>
      <c r="IZ140" s="343"/>
      <c r="JA140" s="343"/>
      <c r="JB140" s="342"/>
      <c r="JC140" s="342"/>
      <c r="JD140" s="342"/>
      <c r="JE140" s="342"/>
      <c r="JF140" s="342"/>
      <c r="JG140" s="343"/>
      <c r="JL140" s="343"/>
      <c r="JM140" s="343"/>
      <c r="JN140" s="343"/>
      <c r="JO140" s="342"/>
      <c r="JP140" s="342"/>
      <c r="JQ140" s="342"/>
      <c r="JR140" s="342"/>
      <c r="JS140" s="342"/>
      <c r="JT140" s="343"/>
      <c r="JY140" s="343"/>
      <c r="JZ140" s="343"/>
      <c r="KA140" s="343"/>
      <c r="KB140" s="342"/>
      <c r="KC140" s="342"/>
      <c r="KD140" s="342"/>
      <c r="KE140" s="342"/>
      <c r="KF140" s="342"/>
      <c r="KG140" s="343"/>
      <c r="KL140" s="343"/>
      <c r="KM140" s="343"/>
      <c r="KN140" s="343"/>
      <c r="KO140" s="342"/>
      <c r="KP140" s="342"/>
      <c r="KQ140" s="342"/>
      <c r="KR140" s="342"/>
      <c r="KS140" s="342"/>
      <c r="KT140" s="343"/>
      <c r="KY140" s="343"/>
      <c r="KZ140" s="343"/>
      <c r="LA140" s="343"/>
      <c r="LB140" s="342"/>
      <c r="LC140" s="342"/>
      <c r="LD140" s="342"/>
      <c r="LE140" s="342"/>
      <c r="LF140" s="342"/>
      <c r="LG140" s="343"/>
      <c r="LL140" s="343"/>
      <c r="LM140" s="343"/>
      <c r="LN140" s="343"/>
      <c r="LO140" s="342"/>
      <c r="LP140" s="342"/>
      <c r="LQ140" s="342"/>
      <c r="LR140" s="342"/>
      <c r="LS140" s="342"/>
      <c r="LT140" s="343"/>
      <c r="LY140" s="343"/>
      <c r="LZ140" s="343"/>
      <c r="MA140" s="343"/>
      <c r="MB140" s="342"/>
      <c r="MC140" s="342"/>
      <c r="MD140" s="342"/>
      <c r="ME140" s="342"/>
      <c r="MF140" s="342"/>
      <c r="MG140" s="343"/>
    </row>
    <row r="141" spans="2:345" ht="16" thickBot="1">
      <c r="B141" s="852"/>
      <c r="C141" s="853"/>
      <c r="D141" s="853"/>
      <c r="E141" s="853"/>
      <c r="F141" s="853"/>
      <c r="G141" s="853"/>
      <c r="H141" s="854"/>
      <c r="L141" s="343"/>
      <c r="M141" s="343"/>
      <c r="N141" s="343"/>
      <c r="O141" s="342">
        <f>(T116&lt;&gt;2)+($B$116&amp;$D$116&lt;&gt;I116&amp;K116)*($B$117&amp;$D$117&lt;&gt;I116&amp;K116)*($B$118&amp;$D$118&lt;&gt;I116&amp;K116)*($B$119&amp;$D$119&lt;&gt;I116&amp;K116)*($D$116&amp;$B$116&lt;&gt;I116&amp;K116)*($D$117&amp;$B$117&lt;&gt;I116&amp;K116)*($D$118&amp;$B$118&lt;&gt;I116&amp;K116)*($D$119&amp;$B$119&lt;&gt;I116&amp;K116)</f>
        <v>1</v>
      </c>
      <c r="P141" s="342">
        <f>IFERROR(VLOOKUP(I116,$B$116:$F$119,5,0),0)</f>
        <v>0</v>
      </c>
      <c r="Q141" s="342">
        <f>IFERROR(VLOOKUP(K116,$B$116:$F$119,5,0),0)</f>
        <v>0</v>
      </c>
      <c r="R141" s="342">
        <f>IFERROR(VLOOKUP(I116,$D$116:$G$119,4,0),0)</f>
        <v>0</v>
      </c>
      <c r="S141" s="342">
        <f>IFERROR(VLOOKUP(K116,$D$116:$G$119,4,0),0)</f>
        <v>0</v>
      </c>
      <c r="T141" s="343"/>
      <c r="Y141" s="343"/>
      <c r="Z141" s="343"/>
      <c r="AA141" s="343"/>
      <c r="AB141" s="342">
        <f>(AG116&lt;&gt;2)+($B$116&amp;$D$116&lt;&gt;V116&amp;X116)*($B$117&amp;$D$117&lt;&gt;V116&amp;X116)*($B$118&amp;$D$118&lt;&gt;V116&amp;X116)*($B$119&amp;$D$119&lt;&gt;V116&amp;X116)*($D$116&amp;$B$116&lt;&gt;V116&amp;X116)*($D$117&amp;$B$117&lt;&gt;V116&amp;X116)*($D$118&amp;$B$118&lt;&gt;V116&amp;X116)*($D$119&amp;$B$119&lt;&gt;V116&amp;X116)</f>
        <v>1</v>
      </c>
      <c r="AC141" s="342">
        <f>IFERROR(VLOOKUP(V116,$B$116:$F$119,5,0),0)</f>
        <v>0</v>
      </c>
      <c r="AD141" s="342">
        <f>IFERROR(VLOOKUP(X116,$B$116:$F$119,5,0),0)</f>
        <v>0</v>
      </c>
      <c r="AE141" s="342">
        <f>IFERROR(VLOOKUP(V116,$D$116:$G$119,4,0),0)</f>
        <v>0</v>
      </c>
      <c r="AF141" s="342">
        <f>IFERROR(VLOOKUP(X116,$D$116:$G$119,4,0),0)</f>
        <v>0</v>
      </c>
      <c r="AG141" s="343"/>
      <c r="AL141" s="343"/>
      <c r="AM141" s="343"/>
      <c r="AN141" s="343"/>
      <c r="AO141" s="342">
        <f>(AT116&lt;&gt;2)+($B$116&amp;$D$116&lt;&gt;AI116&amp;AK116)*($B$117&amp;$D$117&lt;&gt;AI116&amp;AK116)*($B$118&amp;$D$118&lt;&gt;AI116&amp;AK116)*($B$119&amp;$D$119&lt;&gt;AI116&amp;AK116)*($D$116&amp;$B$116&lt;&gt;AI116&amp;AK116)*($D$117&amp;$B$117&lt;&gt;AI116&amp;AK116)*($D$118&amp;$B$118&lt;&gt;AI116&amp;AK116)*($D$119&amp;$B$119&lt;&gt;AI116&amp;AK116)</f>
        <v>1</v>
      </c>
      <c r="AP141" s="342">
        <f>IFERROR(VLOOKUP(AI116,$B$116:$F$119,5,0),0)</f>
        <v>0</v>
      </c>
      <c r="AQ141" s="342">
        <f>IFERROR(VLOOKUP(AK116,$B$116:$F$119,5,0),0)</f>
        <v>0</v>
      </c>
      <c r="AR141" s="342">
        <f>IFERROR(VLOOKUP(AI116,$D$116:$G$119,4,0),0)</f>
        <v>0</v>
      </c>
      <c r="AS141" s="342">
        <f>IFERROR(VLOOKUP(AK116,$D$116:$G$119,4,0),0)</f>
        <v>0</v>
      </c>
      <c r="AT141" s="343"/>
      <c r="AY141" s="343"/>
      <c r="AZ141" s="343"/>
      <c r="BA141" s="343"/>
      <c r="BB141" s="342">
        <f>(BG116&lt;&gt;2)+($B$116&amp;$D$116&lt;&gt;AV116&amp;AX116)*($B$117&amp;$D$117&lt;&gt;AV116&amp;AX116)*($B$118&amp;$D$118&lt;&gt;AV116&amp;AX116)*($B$119&amp;$D$119&lt;&gt;AV116&amp;AX116)*($D$116&amp;$B$116&lt;&gt;AV116&amp;AX116)*($D$117&amp;$B$117&lt;&gt;AV116&amp;AX116)*($D$118&amp;$B$118&lt;&gt;AV116&amp;AX116)*($D$119&amp;$B$119&lt;&gt;AV116&amp;AX116)</f>
        <v>1</v>
      </c>
      <c r="BC141" s="342">
        <f>IFERROR(VLOOKUP(AV116,$B$116:$F$119,5,0),0)</f>
        <v>0</v>
      </c>
      <c r="BD141" s="342">
        <f>IFERROR(VLOOKUP(AX116,$B$116:$F$119,5,0),0)</f>
        <v>0</v>
      </c>
      <c r="BE141" s="342">
        <f>IFERROR(VLOOKUP(AV116,$D$116:$G$119,4,0),0)</f>
        <v>0</v>
      </c>
      <c r="BF141" s="342">
        <f>IFERROR(VLOOKUP(AX116,$D$116:$G$119,4,0),0)</f>
        <v>0</v>
      </c>
      <c r="BG141" s="343"/>
      <c r="BL141" s="343"/>
      <c r="BM141" s="343"/>
      <c r="BN141" s="343"/>
      <c r="BO141" s="342">
        <f>(BT116&lt;&gt;2)+($B$116&amp;$D$116&lt;&gt;BI116&amp;BK116)*($B$117&amp;$D$117&lt;&gt;BI116&amp;BK116)*($B$118&amp;$D$118&lt;&gt;BI116&amp;BK116)*($B$119&amp;$D$119&lt;&gt;BI116&amp;BK116)*($D$116&amp;$B$116&lt;&gt;BI116&amp;BK116)*($D$117&amp;$B$117&lt;&gt;BI116&amp;BK116)*($D$118&amp;$B$118&lt;&gt;BI116&amp;BK116)*($D$119&amp;$B$119&lt;&gt;BI116&amp;BK116)</f>
        <v>1</v>
      </c>
      <c r="BP141" s="342">
        <f>IFERROR(VLOOKUP(BI116,$B$116:$F$119,5,0),0)</f>
        <v>0</v>
      </c>
      <c r="BQ141" s="342">
        <f>IFERROR(VLOOKUP(BK116,$B$116:$F$119,5,0),0)</f>
        <v>0</v>
      </c>
      <c r="BR141" s="342">
        <f>IFERROR(VLOOKUP(BI116,$D$116:$G$119,4,0),0)</f>
        <v>0</v>
      </c>
      <c r="BS141" s="342">
        <f>IFERROR(VLOOKUP(BK116,$D$116:$G$119,4,0),0)</f>
        <v>0</v>
      </c>
      <c r="BT141" s="343"/>
      <c r="BY141" s="343"/>
      <c r="BZ141" s="343"/>
      <c r="CA141" s="343"/>
      <c r="CB141" s="342">
        <f>(CG116&lt;&gt;2)+($B$116&amp;$D$116&lt;&gt;BV116&amp;BX116)*($B$117&amp;$D$117&lt;&gt;BV116&amp;BX116)*($B$118&amp;$D$118&lt;&gt;BV116&amp;BX116)*($B$119&amp;$D$119&lt;&gt;BV116&amp;BX116)*($D$116&amp;$B$116&lt;&gt;BV116&amp;BX116)*($D$117&amp;$B$117&lt;&gt;BV116&amp;BX116)*($D$118&amp;$B$118&lt;&gt;BV116&amp;BX116)*($D$119&amp;$B$119&lt;&gt;BV116&amp;BX116)</f>
        <v>1</v>
      </c>
      <c r="CC141" s="342">
        <f>IFERROR(VLOOKUP(BV116,$B$116:$F$119,5,0),0)</f>
        <v>0</v>
      </c>
      <c r="CD141" s="342">
        <f>IFERROR(VLOOKUP(BX116,$B$116:$F$119,5,0),0)</f>
        <v>0</v>
      </c>
      <c r="CE141" s="342">
        <f>IFERROR(VLOOKUP(BV116,$D$116:$G$119,4,0),0)</f>
        <v>0</v>
      </c>
      <c r="CF141" s="342">
        <f>IFERROR(VLOOKUP(BX116,$D$116:$G$119,4,0),0)</f>
        <v>0</v>
      </c>
      <c r="CG141" s="343"/>
      <c r="CL141" s="343"/>
      <c r="CM141" s="343"/>
      <c r="CN141" s="343"/>
      <c r="CO141" s="342">
        <f>(CT116&lt;&gt;2)+($B$116&amp;$D$116&lt;&gt;CI116&amp;CK116)*($B$117&amp;$D$117&lt;&gt;CI116&amp;CK116)*($B$118&amp;$D$118&lt;&gt;CI116&amp;CK116)*($B$119&amp;$D$119&lt;&gt;CI116&amp;CK116)*($D$116&amp;$B$116&lt;&gt;CI116&amp;CK116)*($D$117&amp;$B$117&lt;&gt;CI116&amp;CK116)*($D$118&amp;$B$118&lt;&gt;CI116&amp;CK116)*($D$119&amp;$B$119&lt;&gt;CI116&amp;CK116)</f>
        <v>1</v>
      </c>
      <c r="CP141" s="342">
        <f>IFERROR(VLOOKUP(CI116,$B$116:$F$119,5,0),0)</f>
        <v>0</v>
      </c>
      <c r="CQ141" s="342">
        <f>IFERROR(VLOOKUP(CK116,$B$116:$F$119,5,0),0)</f>
        <v>0</v>
      </c>
      <c r="CR141" s="342">
        <f>IFERROR(VLOOKUP(CI116,$D$116:$G$119,4,0),0)</f>
        <v>0</v>
      </c>
      <c r="CS141" s="342">
        <f>IFERROR(VLOOKUP(CK116,$D$116:$G$119,4,0),0)</f>
        <v>0</v>
      </c>
      <c r="CT141" s="343"/>
      <c r="CY141" s="343"/>
      <c r="CZ141" s="343"/>
      <c r="DA141" s="343"/>
      <c r="DB141" s="342">
        <f>(DG116&lt;&gt;2)+($B$116&amp;$D$116&lt;&gt;CV116&amp;CX116)*($B$117&amp;$D$117&lt;&gt;CV116&amp;CX116)*($B$118&amp;$D$118&lt;&gt;CV116&amp;CX116)*($B$119&amp;$D$119&lt;&gt;CV116&amp;CX116)*($D$116&amp;$B$116&lt;&gt;CV116&amp;CX116)*($D$117&amp;$B$117&lt;&gt;CV116&amp;CX116)*($D$118&amp;$B$118&lt;&gt;CV116&amp;CX116)*($D$119&amp;$B$119&lt;&gt;CV116&amp;CX116)</f>
        <v>1</v>
      </c>
      <c r="DC141" s="342">
        <f>IFERROR(VLOOKUP(CV116,$B$116:$F$119,5,0),0)</f>
        <v>0</v>
      </c>
      <c r="DD141" s="342">
        <f>IFERROR(VLOOKUP(CX116,$B$116:$F$119,5,0),0)</f>
        <v>0</v>
      </c>
      <c r="DE141" s="342">
        <f>IFERROR(VLOOKUP(CV116,$D$116:$G$119,4,0),0)</f>
        <v>0</v>
      </c>
      <c r="DF141" s="342">
        <f>IFERROR(VLOOKUP(CX116,$D$116:$G$119,4,0),0)</f>
        <v>0</v>
      </c>
      <c r="DG141" s="343"/>
      <c r="DL141" s="343"/>
      <c r="DM141" s="343"/>
      <c r="DN141" s="343"/>
      <c r="DO141" s="342">
        <f>(DT116&lt;&gt;2)+($B$116&amp;$D$116&lt;&gt;DI116&amp;DK116)*($B$117&amp;$D$117&lt;&gt;DI116&amp;DK116)*($B$118&amp;$D$118&lt;&gt;DI116&amp;DK116)*($B$119&amp;$D$119&lt;&gt;DI116&amp;DK116)*($D$116&amp;$B$116&lt;&gt;DI116&amp;DK116)*($D$117&amp;$B$117&lt;&gt;DI116&amp;DK116)*($D$118&amp;$B$118&lt;&gt;DI116&amp;DK116)*($D$119&amp;$B$119&lt;&gt;DI116&amp;DK116)</f>
        <v>1</v>
      </c>
      <c r="DP141" s="342">
        <f>IFERROR(VLOOKUP(DI116,$B$116:$F$119,5,0),0)</f>
        <v>0</v>
      </c>
      <c r="DQ141" s="342">
        <f>IFERROR(VLOOKUP(DK116,$B$116:$F$119,5,0),0)</f>
        <v>0</v>
      </c>
      <c r="DR141" s="342">
        <f>IFERROR(VLOOKUP(DI116,$D$116:$G$119,4,0),0)</f>
        <v>0</v>
      </c>
      <c r="DS141" s="342">
        <f>IFERROR(VLOOKUP(DK116,$D$116:$G$119,4,0),0)</f>
        <v>0</v>
      </c>
      <c r="DT141" s="343"/>
      <c r="DY141" s="343"/>
      <c r="DZ141" s="343"/>
      <c r="EA141" s="343"/>
      <c r="EB141" s="342">
        <f>(EG116&lt;&gt;2)+($B$116&amp;$D$116&lt;&gt;DV116&amp;DX116)*($B$117&amp;$D$117&lt;&gt;DV116&amp;DX116)*($B$118&amp;$D$118&lt;&gt;DV116&amp;DX116)*($B$119&amp;$D$119&lt;&gt;DV116&amp;DX116)*($D$116&amp;$B$116&lt;&gt;DV116&amp;DX116)*($D$117&amp;$B$117&lt;&gt;DV116&amp;DX116)*($D$118&amp;$B$118&lt;&gt;DV116&amp;DX116)*($D$119&amp;$B$119&lt;&gt;DV116&amp;DX116)</f>
        <v>1</v>
      </c>
      <c r="EC141" s="342">
        <f>IFERROR(VLOOKUP(DV116,$B$116:$F$119,5,0),0)</f>
        <v>0</v>
      </c>
      <c r="ED141" s="342">
        <f>IFERROR(VLOOKUP(DX116,$B$116:$F$119,5,0),0)</f>
        <v>0</v>
      </c>
      <c r="EE141" s="342">
        <f>IFERROR(VLOOKUP(DV116,$D$116:$G$119,4,0),0)</f>
        <v>0</v>
      </c>
      <c r="EF141" s="342">
        <f>IFERROR(VLOOKUP(DX116,$D$116:$G$119,4,0),0)</f>
        <v>0</v>
      </c>
      <c r="EG141" s="343"/>
      <c r="EL141" s="343"/>
      <c r="EM141" s="343"/>
      <c r="EN141" s="343"/>
      <c r="EO141" s="342">
        <f>(ET116&lt;&gt;2)+($B$116&amp;$D$116&lt;&gt;EI116&amp;EK116)*($B$117&amp;$D$117&lt;&gt;EI116&amp;EK116)*($B$118&amp;$D$118&lt;&gt;EI116&amp;EK116)*($B$119&amp;$D$119&lt;&gt;EI116&amp;EK116)*($D$116&amp;$B$116&lt;&gt;EI116&amp;EK116)*($D$117&amp;$B$117&lt;&gt;EI116&amp;EK116)*($D$118&amp;$B$118&lt;&gt;EI116&amp;EK116)*($D$119&amp;$B$119&lt;&gt;EI116&amp;EK116)</f>
        <v>1</v>
      </c>
      <c r="EP141" s="342">
        <f>IFERROR(VLOOKUP(EI116,$B$116:$F$119,5,0),0)</f>
        <v>0</v>
      </c>
      <c r="EQ141" s="342">
        <f>IFERROR(VLOOKUP(EK116,$B$116:$F$119,5,0),0)</f>
        <v>0</v>
      </c>
      <c r="ER141" s="342">
        <f>IFERROR(VLOOKUP(EI116,$D$116:$G$119,4,0),0)</f>
        <v>0</v>
      </c>
      <c r="ES141" s="342">
        <f>IFERROR(VLOOKUP(EK116,$D$116:$G$119,4,0),0)</f>
        <v>0</v>
      </c>
      <c r="ET141" s="343"/>
      <c r="EY141" s="343"/>
      <c r="EZ141" s="343"/>
      <c r="FA141" s="343"/>
      <c r="FB141" s="342">
        <f>(FG116&lt;&gt;2)+($B$116&amp;$D$116&lt;&gt;EV116&amp;EX116)*($B$117&amp;$D$117&lt;&gt;EV116&amp;EX116)*($B$118&amp;$D$118&lt;&gt;EV116&amp;EX116)*($B$119&amp;$D$119&lt;&gt;EV116&amp;EX116)*($D$116&amp;$B$116&lt;&gt;EV116&amp;EX116)*($D$117&amp;$B$117&lt;&gt;EV116&amp;EX116)*($D$118&amp;$B$118&lt;&gt;EV116&amp;EX116)*($D$119&amp;$B$119&lt;&gt;EV116&amp;EX116)</f>
        <v>1</v>
      </c>
      <c r="FC141" s="342">
        <f>IFERROR(VLOOKUP(EV116,$B$116:$F$119,5,0),0)</f>
        <v>0</v>
      </c>
      <c r="FD141" s="342">
        <f>IFERROR(VLOOKUP(EX116,$B$116:$F$119,5,0),0)</f>
        <v>0</v>
      </c>
      <c r="FE141" s="342">
        <f>IFERROR(VLOOKUP(EV116,$D$116:$G$119,4,0),0)</f>
        <v>0</v>
      </c>
      <c r="FF141" s="342">
        <f>IFERROR(VLOOKUP(EX116,$D$116:$G$119,4,0),0)</f>
        <v>0</v>
      </c>
      <c r="FG141" s="343"/>
      <c r="FL141" s="343"/>
      <c r="FM141" s="343"/>
      <c r="FN141" s="343"/>
      <c r="FO141" s="342">
        <f>(FT116&lt;&gt;2)+($B$116&amp;$D$116&lt;&gt;FI116&amp;FK116)*($B$117&amp;$D$117&lt;&gt;FI116&amp;FK116)*($B$118&amp;$D$118&lt;&gt;FI116&amp;FK116)*($B$119&amp;$D$119&lt;&gt;FI116&amp;FK116)*($D$116&amp;$B$116&lt;&gt;FI116&amp;FK116)*($D$117&amp;$B$117&lt;&gt;FI116&amp;FK116)*($D$118&amp;$B$118&lt;&gt;FI116&amp;FK116)*($D$119&amp;$B$119&lt;&gt;FI116&amp;FK116)</f>
        <v>1</v>
      </c>
      <c r="FP141" s="342">
        <f>IFERROR(VLOOKUP(FI116,$B$116:$F$119,5,0),0)</f>
        <v>0</v>
      </c>
      <c r="FQ141" s="342">
        <f>IFERROR(VLOOKUP(FK116,$B$116:$F$119,5,0),0)</f>
        <v>0</v>
      </c>
      <c r="FR141" s="342">
        <f>IFERROR(VLOOKUP(FI116,$D$116:$G$119,4,0),0)</f>
        <v>0</v>
      </c>
      <c r="FS141" s="342">
        <f>IFERROR(VLOOKUP(FK116,$D$116:$G$119,4,0),0)</f>
        <v>0</v>
      </c>
      <c r="FT141" s="343"/>
      <c r="FY141" s="343"/>
      <c r="FZ141" s="343"/>
      <c r="GA141" s="343"/>
      <c r="GB141" s="342">
        <f>(GG116&lt;&gt;2)+($B$116&amp;$D$116&lt;&gt;FV116&amp;FX116)*($B$117&amp;$D$117&lt;&gt;FV116&amp;FX116)*($B$118&amp;$D$118&lt;&gt;FV116&amp;FX116)*($B$119&amp;$D$119&lt;&gt;FV116&amp;FX116)*($D$116&amp;$B$116&lt;&gt;FV116&amp;FX116)*($D$117&amp;$B$117&lt;&gt;FV116&amp;FX116)*($D$118&amp;$B$118&lt;&gt;FV116&amp;FX116)*($D$119&amp;$B$119&lt;&gt;FV116&amp;FX116)</f>
        <v>1</v>
      </c>
      <c r="GC141" s="342">
        <f>IFERROR(VLOOKUP(FV116,$B$116:$F$119,5,0),0)</f>
        <v>0</v>
      </c>
      <c r="GD141" s="342">
        <f>IFERROR(VLOOKUP(FX116,$B$116:$F$119,5,0),0)</f>
        <v>0</v>
      </c>
      <c r="GE141" s="342">
        <f>IFERROR(VLOOKUP(FV116,$D$116:$G$119,4,0),0)</f>
        <v>0</v>
      </c>
      <c r="GF141" s="342">
        <f>IFERROR(VLOOKUP(FX116,$D$116:$G$119,4,0),0)</f>
        <v>0</v>
      </c>
      <c r="GG141" s="343"/>
      <c r="GL141" s="343"/>
      <c r="GM141" s="343"/>
      <c r="GN141" s="343"/>
      <c r="GO141" s="342">
        <f>(GT116&lt;&gt;2)+($B$116&amp;$D$116&lt;&gt;GI116&amp;GK116)*($B$117&amp;$D$117&lt;&gt;GI116&amp;GK116)*($B$118&amp;$D$118&lt;&gt;GI116&amp;GK116)*($B$119&amp;$D$119&lt;&gt;GI116&amp;GK116)*($D$116&amp;$B$116&lt;&gt;GI116&amp;GK116)*($D$117&amp;$B$117&lt;&gt;GI116&amp;GK116)*($D$118&amp;$B$118&lt;&gt;GI116&amp;GK116)*($D$119&amp;$B$119&lt;&gt;GI116&amp;GK116)</f>
        <v>1</v>
      </c>
      <c r="GP141" s="342">
        <f>IFERROR(VLOOKUP(GI116,$B$116:$F$119,5,0),0)</f>
        <v>0</v>
      </c>
      <c r="GQ141" s="342">
        <f>IFERROR(VLOOKUP(GK116,$B$116:$F$119,5,0),0)</f>
        <v>0</v>
      </c>
      <c r="GR141" s="342">
        <f>IFERROR(VLOOKUP(GI116,$D$116:$G$119,4,0),0)</f>
        <v>0</v>
      </c>
      <c r="GS141" s="342">
        <f>IFERROR(VLOOKUP(GK116,$D$116:$G$119,4,0),0)</f>
        <v>0</v>
      </c>
      <c r="GT141" s="343"/>
      <c r="GY141" s="343"/>
      <c r="GZ141" s="343"/>
      <c r="HA141" s="343"/>
      <c r="HB141" s="342">
        <f>(HG116&lt;&gt;2)+($B$116&amp;$D$116&lt;&gt;GV116&amp;GX116)*($B$117&amp;$D$117&lt;&gt;GV116&amp;GX116)*($B$118&amp;$D$118&lt;&gt;GV116&amp;GX116)*($B$119&amp;$D$119&lt;&gt;GV116&amp;GX116)*($D$116&amp;$B$116&lt;&gt;GV116&amp;GX116)*($D$117&amp;$B$117&lt;&gt;GV116&amp;GX116)*($D$118&amp;$B$118&lt;&gt;GV116&amp;GX116)*($D$119&amp;$B$119&lt;&gt;GV116&amp;GX116)</f>
        <v>1</v>
      </c>
      <c r="HC141" s="342">
        <f>IFERROR(VLOOKUP(GV116,$B$116:$F$119,5,0),0)</f>
        <v>0</v>
      </c>
      <c r="HD141" s="342">
        <f>IFERROR(VLOOKUP(GX116,$B$116:$F$119,5,0),0)</f>
        <v>0</v>
      </c>
      <c r="HE141" s="342">
        <f>IFERROR(VLOOKUP(GV116,$D$116:$G$119,4,0),0)</f>
        <v>0</v>
      </c>
      <c r="HF141" s="342">
        <f>IFERROR(VLOOKUP(GX116,$D$116:$G$119,4,0),0)</f>
        <v>0</v>
      </c>
      <c r="HG141" s="343"/>
      <c r="HL141" s="343"/>
      <c r="HM141" s="343"/>
      <c r="HN141" s="343"/>
      <c r="HO141" s="342">
        <f>(HT116&lt;&gt;2)+($B$116&amp;$D$116&lt;&gt;HI116&amp;HK116)*($B$117&amp;$D$117&lt;&gt;HI116&amp;HK116)*($B$118&amp;$D$118&lt;&gt;HI116&amp;HK116)*($B$119&amp;$D$119&lt;&gt;HI116&amp;HK116)*($D$116&amp;$B$116&lt;&gt;HI116&amp;HK116)*($D$117&amp;$B$117&lt;&gt;HI116&amp;HK116)*($D$118&amp;$B$118&lt;&gt;HI116&amp;HK116)*($D$119&amp;$B$119&lt;&gt;HI116&amp;HK116)</f>
        <v>1</v>
      </c>
      <c r="HP141" s="342">
        <f>IFERROR(VLOOKUP(HI116,$B$116:$F$119,5,0),0)</f>
        <v>0</v>
      </c>
      <c r="HQ141" s="342">
        <f>IFERROR(VLOOKUP(HK116,$B$116:$F$119,5,0),0)</f>
        <v>0</v>
      </c>
      <c r="HR141" s="342">
        <f>IFERROR(VLOOKUP(HI116,$D$116:$G$119,4,0),0)</f>
        <v>0</v>
      </c>
      <c r="HS141" s="342">
        <f>IFERROR(VLOOKUP(HK116,$D$116:$G$119,4,0),0)</f>
        <v>0</v>
      </c>
      <c r="HT141" s="343"/>
      <c r="HY141" s="343"/>
      <c r="HZ141" s="343"/>
      <c r="IA141" s="343"/>
      <c r="IB141" s="342">
        <f>(IG116&lt;&gt;2)+($B$116&amp;$D$116&lt;&gt;HV116&amp;HX116)*($B$117&amp;$D$117&lt;&gt;HV116&amp;HX116)*($B$118&amp;$D$118&lt;&gt;HV116&amp;HX116)*($B$119&amp;$D$119&lt;&gt;HV116&amp;HX116)*($D$116&amp;$B$116&lt;&gt;HV116&amp;HX116)*($D$117&amp;$B$117&lt;&gt;HV116&amp;HX116)*($D$118&amp;$B$118&lt;&gt;HV116&amp;HX116)*($D$119&amp;$B$119&lt;&gt;HV116&amp;HX116)</f>
        <v>1</v>
      </c>
      <c r="IC141" s="342">
        <f>IFERROR(VLOOKUP(HV116,$B$116:$F$119,5,0),0)</f>
        <v>0</v>
      </c>
      <c r="ID141" s="342">
        <f>IFERROR(VLOOKUP(HX116,$B$116:$F$119,5,0),0)</f>
        <v>0</v>
      </c>
      <c r="IE141" s="342">
        <f>IFERROR(VLOOKUP(HV116,$D$116:$G$119,4,0),0)</f>
        <v>0</v>
      </c>
      <c r="IF141" s="342">
        <f>IFERROR(VLOOKUP(HX116,$D$116:$G$119,4,0),0)</f>
        <v>0</v>
      </c>
      <c r="IG141" s="343"/>
      <c r="IL141" s="343"/>
      <c r="IM141" s="343"/>
      <c r="IN141" s="343"/>
      <c r="IO141" s="342">
        <f>(IT116&lt;&gt;2)+($B$116&amp;$D$116&lt;&gt;II116&amp;IK116)*($B$117&amp;$D$117&lt;&gt;II116&amp;IK116)*($B$118&amp;$D$118&lt;&gt;II116&amp;IK116)*($B$119&amp;$D$119&lt;&gt;II116&amp;IK116)*($D$116&amp;$B$116&lt;&gt;II116&amp;IK116)*($D$117&amp;$B$117&lt;&gt;II116&amp;IK116)*($D$118&amp;$B$118&lt;&gt;II116&amp;IK116)*($D$119&amp;$B$119&lt;&gt;II116&amp;IK116)</f>
        <v>1</v>
      </c>
      <c r="IP141" s="342">
        <f>IFERROR(VLOOKUP(II116,$B$116:$F$119,5,0),0)</f>
        <v>0</v>
      </c>
      <c r="IQ141" s="342">
        <f>IFERROR(VLOOKUP(IK116,$B$116:$F$119,5,0),0)</f>
        <v>0</v>
      </c>
      <c r="IR141" s="342">
        <f>IFERROR(VLOOKUP(II116,$D$116:$G$119,4,0),0)</f>
        <v>0</v>
      </c>
      <c r="IS141" s="342">
        <f>IFERROR(VLOOKUP(IK116,$D$116:$G$119,4,0),0)</f>
        <v>0</v>
      </c>
      <c r="IT141" s="343"/>
      <c r="IY141" s="343"/>
      <c r="IZ141" s="343"/>
      <c r="JA141" s="343"/>
      <c r="JB141" s="342">
        <f>(JG116&lt;&gt;2)+($B$116&amp;$D$116&lt;&gt;IV116&amp;IX116)*($B$117&amp;$D$117&lt;&gt;IV116&amp;IX116)*($B$118&amp;$D$118&lt;&gt;IV116&amp;IX116)*($B$119&amp;$D$119&lt;&gt;IV116&amp;IX116)*($D$116&amp;$B$116&lt;&gt;IV116&amp;IX116)*($D$117&amp;$B$117&lt;&gt;IV116&amp;IX116)*($D$118&amp;$B$118&lt;&gt;IV116&amp;IX116)*($D$119&amp;$B$119&lt;&gt;IV116&amp;IX116)</f>
        <v>1</v>
      </c>
      <c r="JC141" s="342">
        <f>IFERROR(VLOOKUP(IV116,$B$116:$F$119,5,0),0)</f>
        <v>0</v>
      </c>
      <c r="JD141" s="342">
        <f>IFERROR(VLOOKUP(IX116,$B$116:$F$119,5,0),0)</f>
        <v>0</v>
      </c>
      <c r="JE141" s="342">
        <f>IFERROR(VLOOKUP(IV116,$D$116:$G$119,4,0),0)</f>
        <v>0</v>
      </c>
      <c r="JF141" s="342">
        <f>IFERROR(VLOOKUP(IX116,$D$116:$G$119,4,0),0)</f>
        <v>0</v>
      </c>
      <c r="JG141" s="343"/>
      <c r="JL141" s="343"/>
      <c r="JM141" s="343"/>
      <c r="JN141" s="343"/>
      <c r="JO141" s="342">
        <f>(JT116&lt;&gt;2)+($B$116&amp;$D$116&lt;&gt;JI116&amp;JK116)*($B$117&amp;$D$117&lt;&gt;JI116&amp;JK116)*($B$118&amp;$D$118&lt;&gt;JI116&amp;JK116)*($B$119&amp;$D$119&lt;&gt;JI116&amp;JK116)*($D$116&amp;$B$116&lt;&gt;JI116&amp;JK116)*($D$117&amp;$B$117&lt;&gt;JI116&amp;JK116)*($D$118&amp;$B$118&lt;&gt;JI116&amp;JK116)*($D$119&amp;$B$119&lt;&gt;JI116&amp;JK116)</f>
        <v>1</v>
      </c>
      <c r="JP141" s="342">
        <f>IFERROR(VLOOKUP(JI116,$B$116:$F$119,5,0),0)</f>
        <v>0</v>
      </c>
      <c r="JQ141" s="342">
        <f>IFERROR(VLOOKUP(JK116,$B$116:$F$119,5,0),0)</f>
        <v>0</v>
      </c>
      <c r="JR141" s="342">
        <f>IFERROR(VLOOKUP(JI116,$D$116:$G$119,4,0),0)</f>
        <v>0</v>
      </c>
      <c r="JS141" s="342">
        <f>IFERROR(VLOOKUP(JK116,$D$116:$G$119,4,0),0)</f>
        <v>0</v>
      </c>
      <c r="JT141" s="343"/>
      <c r="JY141" s="343"/>
      <c r="JZ141" s="343"/>
      <c r="KA141" s="343"/>
      <c r="KB141" s="342">
        <f>(KG116&lt;&gt;2)+($B$116&amp;$D$116&lt;&gt;JV116&amp;JX116)*($B$117&amp;$D$117&lt;&gt;JV116&amp;JX116)*($B$118&amp;$D$118&lt;&gt;JV116&amp;JX116)*($B$119&amp;$D$119&lt;&gt;JV116&amp;JX116)*($D$116&amp;$B$116&lt;&gt;JV116&amp;JX116)*($D$117&amp;$B$117&lt;&gt;JV116&amp;JX116)*($D$118&amp;$B$118&lt;&gt;JV116&amp;JX116)*($D$119&amp;$B$119&lt;&gt;JV116&amp;JX116)</f>
        <v>1</v>
      </c>
      <c r="KC141" s="342">
        <f>IFERROR(VLOOKUP(JV116,$B$116:$F$119,5,0),0)</f>
        <v>0</v>
      </c>
      <c r="KD141" s="342">
        <f>IFERROR(VLOOKUP(JX116,$B$116:$F$119,5,0),0)</f>
        <v>0</v>
      </c>
      <c r="KE141" s="342">
        <f>IFERROR(VLOOKUP(JV116,$D$116:$G$119,4,0),0)</f>
        <v>0</v>
      </c>
      <c r="KF141" s="342">
        <f>IFERROR(VLOOKUP(JX116,$D$116:$G$119,4,0),0)</f>
        <v>0</v>
      </c>
      <c r="KG141" s="343"/>
      <c r="KL141" s="343"/>
      <c r="KM141" s="343"/>
      <c r="KN141" s="343"/>
      <c r="KO141" s="342">
        <f>(KT116&lt;&gt;2)+($B$116&amp;$D$116&lt;&gt;KI116&amp;KK116)*($B$117&amp;$D$117&lt;&gt;KI116&amp;KK116)*($B$118&amp;$D$118&lt;&gt;KI116&amp;KK116)*($B$119&amp;$D$119&lt;&gt;KI116&amp;KK116)*($D$116&amp;$B$116&lt;&gt;KI116&amp;KK116)*($D$117&amp;$B$117&lt;&gt;KI116&amp;KK116)*($D$118&amp;$B$118&lt;&gt;KI116&amp;KK116)*($D$119&amp;$B$119&lt;&gt;KI116&amp;KK116)</f>
        <v>1</v>
      </c>
      <c r="KP141" s="342">
        <f>IFERROR(VLOOKUP(KI116,$B$116:$F$119,5,0),0)</f>
        <v>0</v>
      </c>
      <c r="KQ141" s="342">
        <f>IFERROR(VLOOKUP(KK116,$B$116:$F$119,5,0),0)</f>
        <v>0</v>
      </c>
      <c r="KR141" s="342">
        <f>IFERROR(VLOOKUP(KI116,$D$116:$G$119,4,0),0)</f>
        <v>0</v>
      </c>
      <c r="KS141" s="342">
        <f>IFERROR(VLOOKUP(KK116,$D$116:$G$119,4,0),0)</f>
        <v>0</v>
      </c>
      <c r="KT141" s="343"/>
      <c r="KY141" s="343"/>
      <c r="KZ141" s="343"/>
      <c r="LA141" s="343"/>
      <c r="LB141" s="342">
        <f>(LG116&lt;&gt;2)+($B$116&amp;$D$116&lt;&gt;KV116&amp;KX116)*($B$117&amp;$D$117&lt;&gt;KV116&amp;KX116)*($B$118&amp;$D$118&lt;&gt;KV116&amp;KX116)*($B$119&amp;$D$119&lt;&gt;KV116&amp;KX116)*($D$116&amp;$B$116&lt;&gt;KV116&amp;KX116)*($D$117&amp;$B$117&lt;&gt;KV116&amp;KX116)*($D$118&amp;$B$118&lt;&gt;KV116&amp;KX116)*($D$119&amp;$B$119&lt;&gt;KV116&amp;KX116)</f>
        <v>1</v>
      </c>
      <c r="LC141" s="342">
        <f>IFERROR(VLOOKUP(KV116,$B$116:$F$119,5,0),0)</f>
        <v>0</v>
      </c>
      <c r="LD141" s="342">
        <f>IFERROR(VLOOKUP(KX116,$B$116:$F$119,5,0),0)</f>
        <v>0</v>
      </c>
      <c r="LE141" s="342">
        <f>IFERROR(VLOOKUP(KV116,$D$116:$G$119,4,0),0)</f>
        <v>0</v>
      </c>
      <c r="LF141" s="342">
        <f>IFERROR(VLOOKUP(KX116,$D$116:$G$119,4,0),0)</f>
        <v>0</v>
      </c>
      <c r="LG141" s="343"/>
      <c r="LL141" s="343"/>
      <c r="LM141" s="343"/>
      <c r="LN141" s="343"/>
      <c r="LO141" s="342">
        <f>(LT116&lt;&gt;2)+($B$116&amp;$D$116&lt;&gt;LI116&amp;LK116)*($B$117&amp;$D$117&lt;&gt;LI116&amp;LK116)*($B$118&amp;$D$118&lt;&gt;LI116&amp;LK116)*($B$119&amp;$D$119&lt;&gt;LI116&amp;LK116)*($D$116&amp;$B$116&lt;&gt;LI116&amp;LK116)*($D$117&amp;$B$117&lt;&gt;LI116&amp;LK116)*($D$118&amp;$B$118&lt;&gt;LI116&amp;LK116)*($D$119&amp;$B$119&lt;&gt;LI116&amp;LK116)</f>
        <v>1</v>
      </c>
      <c r="LP141" s="342">
        <f>IFERROR(VLOOKUP(LI116,$B$116:$F$119,5,0),0)</f>
        <v>0</v>
      </c>
      <c r="LQ141" s="342">
        <f>IFERROR(VLOOKUP(LK116,$B$116:$F$119,5,0),0)</f>
        <v>0</v>
      </c>
      <c r="LR141" s="342">
        <f>IFERROR(VLOOKUP(LI116,$D$116:$G$119,4,0),0)</f>
        <v>0</v>
      </c>
      <c r="LS141" s="342">
        <f>IFERROR(VLOOKUP(LK116,$D$116:$G$119,4,0),0)</f>
        <v>0</v>
      </c>
      <c r="LT141" s="343"/>
      <c r="LY141" s="343"/>
      <c r="LZ141" s="343"/>
      <c r="MA141" s="343"/>
      <c r="MB141" s="342">
        <f>(MG116&lt;&gt;2)+($B$116&amp;$D$116&lt;&gt;LV116&amp;LX116)*($B$117&amp;$D$117&lt;&gt;LV116&amp;LX116)*($B$118&amp;$D$118&lt;&gt;LV116&amp;LX116)*($B$119&amp;$D$119&lt;&gt;LV116&amp;LX116)*($D$116&amp;$B$116&lt;&gt;LV116&amp;LX116)*($D$117&amp;$B$117&lt;&gt;LV116&amp;LX116)*($D$118&amp;$B$118&lt;&gt;LV116&amp;LX116)*($D$119&amp;$B$119&lt;&gt;LV116&amp;LX116)</f>
        <v>1</v>
      </c>
      <c r="MC141" s="342">
        <f>IFERROR(VLOOKUP(LV116,$B$116:$F$119,5,0),0)</f>
        <v>0</v>
      </c>
      <c r="MD141" s="342">
        <f>IFERROR(VLOOKUP(LX116,$B$116:$F$119,5,0),0)</f>
        <v>0</v>
      </c>
      <c r="ME141" s="342">
        <f>IFERROR(VLOOKUP(LV116,$D$116:$G$119,4,0),0)</f>
        <v>0</v>
      </c>
      <c r="MF141" s="342">
        <f>IFERROR(VLOOKUP(LX116,$D$116:$G$119,4,0),0)</f>
        <v>0</v>
      </c>
      <c r="MG141" s="343"/>
    </row>
    <row r="142" spans="2:345" ht="16" thickTop="1">
      <c r="I142"/>
      <c r="J142"/>
      <c r="K142"/>
      <c r="L142" s="342"/>
      <c r="M142" s="342"/>
      <c r="N142" s="342"/>
      <c r="O142" s="342">
        <f t="shared" ref="O142:O144" si="1846">(T117&lt;&gt;2)+($B$116&amp;$D$116&lt;&gt;I117&amp;K117)*($B$117&amp;$D$117&lt;&gt;I117&amp;K117)*($B$118&amp;$D$118&lt;&gt;I117&amp;K117)*($B$119&amp;$D$119&lt;&gt;I117&amp;K117)*($D$116&amp;$B$116&lt;&gt;I117&amp;K117)*($D$117&amp;$B$117&lt;&gt;I117&amp;K117)*($D$118&amp;$B$118&lt;&gt;I117&amp;K117)*($D$119&amp;$B$119&lt;&gt;I117&amp;K117)</f>
        <v>1</v>
      </c>
      <c r="P142" s="342">
        <f t="shared" ref="P142:P144" si="1847">IFERROR(VLOOKUP(I117,$B$116:$F$119,5,0),0)</f>
        <v>0</v>
      </c>
      <c r="Q142" s="342">
        <f t="shared" ref="Q142:Q144" si="1848">IFERROR(VLOOKUP(K117,$B$116:$F$119,5,0),0)</f>
        <v>0</v>
      </c>
      <c r="R142" s="342">
        <f t="shared" ref="R142:R144" si="1849">IFERROR(VLOOKUP(I117,$D$116:$G$119,4,0),0)</f>
        <v>0</v>
      </c>
      <c r="S142" s="342">
        <f t="shared" ref="S142:S144" si="1850">IFERROR(VLOOKUP(K117,$D$116:$G$119,4,0),0)</f>
        <v>0</v>
      </c>
      <c r="T142" s="343"/>
      <c r="V142"/>
      <c r="W142"/>
      <c r="X142"/>
      <c r="Y142" s="342"/>
      <c r="Z142" s="342"/>
      <c r="AA142" s="342"/>
      <c r="AB142" s="342">
        <f t="shared" ref="AB142:AB144" si="1851">(AG117&lt;&gt;2)+($B$116&amp;$D$116&lt;&gt;V117&amp;X117)*($B$117&amp;$D$117&lt;&gt;V117&amp;X117)*($B$118&amp;$D$118&lt;&gt;V117&amp;X117)*($B$119&amp;$D$119&lt;&gt;V117&amp;X117)*($D$116&amp;$B$116&lt;&gt;V117&amp;X117)*($D$117&amp;$B$117&lt;&gt;V117&amp;X117)*($D$118&amp;$B$118&lt;&gt;V117&amp;X117)*($D$119&amp;$B$119&lt;&gt;V117&amp;X117)</f>
        <v>1</v>
      </c>
      <c r="AC142" s="342">
        <f t="shared" ref="AC142:AC144" si="1852">IFERROR(VLOOKUP(V117,$B$116:$F$119,5,0),0)</f>
        <v>0</v>
      </c>
      <c r="AD142" s="342">
        <f t="shared" ref="AD142:AD144" si="1853">IFERROR(VLOOKUP(X117,$B$116:$F$119,5,0),0)</f>
        <v>0</v>
      </c>
      <c r="AE142" s="342">
        <f t="shared" ref="AE142:AE144" si="1854">IFERROR(VLOOKUP(V117,$D$116:$G$119,4,0),0)</f>
        <v>0</v>
      </c>
      <c r="AF142" s="342">
        <f t="shared" ref="AF142:AF144" si="1855">IFERROR(VLOOKUP(X117,$D$116:$G$119,4,0),0)</f>
        <v>0</v>
      </c>
      <c r="AG142" s="343"/>
      <c r="AI142"/>
      <c r="AJ142"/>
      <c r="AK142"/>
      <c r="AL142" s="342"/>
      <c r="AM142" s="342"/>
      <c r="AN142" s="342"/>
      <c r="AO142" s="342">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2">
        <f t="shared" ref="AP142:AP144" si="1857">IFERROR(VLOOKUP(AI117,$B$116:$F$119,5,0),0)</f>
        <v>0</v>
      </c>
      <c r="AQ142" s="342">
        <f t="shared" ref="AQ142:AQ144" si="1858">IFERROR(VLOOKUP(AK117,$B$116:$F$119,5,0),0)</f>
        <v>0</v>
      </c>
      <c r="AR142" s="342">
        <f t="shared" ref="AR142:AR144" si="1859">IFERROR(VLOOKUP(AI117,$D$116:$G$119,4,0),0)</f>
        <v>0</v>
      </c>
      <c r="AS142" s="342">
        <f t="shared" ref="AS142:AS144" si="1860">IFERROR(VLOOKUP(AK117,$D$116:$G$119,4,0),0)</f>
        <v>0</v>
      </c>
      <c r="AT142" s="343"/>
      <c r="AV142"/>
      <c r="AW142"/>
      <c r="AX142"/>
      <c r="AY142" s="342"/>
      <c r="AZ142" s="342"/>
      <c r="BA142" s="342"/>
      <c r="BB142" s="342">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2">
        <f t="shared" ref="BC142:BC144" si="1862">IFERROR(VLOOKUP(AV117,$B$116:$F$119,5,0),0)</f>
        <v>0</v>
      </c>
      <c r="BD142" s="342">
        <f t="shared" ref="BD142:BD144" si="1863">IFERROR(VLOOKUP(AX117,$B$116:$F$119,5,0),0)</f>
        <v>0</v>
      </c>
      <c r="BE142" s="342">
        <f t="shared" ref="BE142:BE144" si="1864">IFERROR(VLOOKUP(AV117,$D$116:$G$119,4,0),0)</f>
        <v>0</v>
      </c>
      <c r="BF142" s="342">
        <f t="shared" ref="BF142:BF144" si="1865">IFERROR(VLOOKUP(AX117,$D$116:$G$119,4,0),0)</f>
        <v>0</v>
      </c>
      <c r="BG142" s="343"/>
      <c r="BI142"/>
      <c r="BJ142"/>
      <c r="BK142"/>
      <c r="BL142" s="342"/>
      <c r="BM142" s="342"/>
      <c r="BN142" s="342"/>
      <c r="BO142" s="342">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2">
        <f t="shared" ref="BP142:BP144" si="1867">IFERROR(VLOOKUP(BI117,$B$116:$F$119,5,0),0)</f>
        <v>0</v>
      </c>
      <c r="BQ142" s="342">
        <f t="shared" ref="BQ142:BQ144" si="1868">IFERROR(VLOOKUP(BK117,$B$116:$F$119,5,0),0)</f>
        <v>0</v>
      </c>
      <c r="BR142" s="342">
        <f t="shared" ref="BR142:BR144" si="1869">IFERROR(VLOOKUP(BI117,$D$116:$G$119,4,0),0)</f>
        <v>0</v>
      </c>
      <c r="BS142" s="342">
        <f t="shared" ref="BS142:BS144" si="1870">IFERROR(VLOOKUP(BK117,$D$116:$G$119,4,0),0)</f>
        <v>0</v>
      </c>
      <c r="BT142" s="343"/>
      <c r="BV142"/>
      <c r="BW142"/>
      <c r="BX142"/>
      <c r="BY142" s="342"/>
      <c r="BZ142" s="342"/>
      <c r="CA142" s="342"/>
      <c r="CB142" s="342">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2">
        <f t="shared" ref="CC142:CC144" si="1872">IFERROR(VLOOKUP(BV117,$B$116:$F$119,5,0),0)</f>
        <v>0</v>
      </c>
      <c r="CD142" s="342">
        <f t="shared" ref="CD142:CD144" si="1873">IFERROR(VLOOKUP(BX117,$B$116:$F$119,5,0),0)</f>
        <v>0</v>
      </c>
      <c r="CE142" s="342">
        <f t="shared" ref="CE142:CE144" si="1874">IFERROR(VLOOKUP(BV117,$D$116:$G$119,4,0),0)</f>
        <v>0</v>
      </c>
      <c r="CF142" s="342">
        <f t="shared" ref="CF142:CF144" si="1875">IFERROR(VLOOKUP(BX117,$D$116:$G$119,4,0),0)</f>
        <v>0</v>
      </c>
      <c r="CG142" s="343"/>
      <c r="CI142"/>
      <c r="CJ142"/>
      <c r="CK142"/>
      <c r="CL142" s="342"/>
      <c r="CM142" s="342"/>
      <c r="CN142" s="342"/>
      <c r="CO142" s="342">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2">
        <f t="shared" ref="CP142:CP144" si="1877">IFERROR(VLOOKUP(CI117,$B$116:$F$119,5,0),0)</f>
        <v>0</v>
      </c>
      <c r="CQ142" s="342">
        <f t="shared" ref="CQ142:CQ144" si="1878">IFERROR(VLOOKUP(CK117,$B$116:$F$119,5,0),0)</f>
        <v>0</v>
      </c>
      <c r="CR142" s="342">
        <f t="shared" ref="CR142:CR144" si="1879">IFERROR(VLOOKUP(CI117,$D$116:$G$119,4,0),0)</f>
        <v>0</v>
      </c>
      <c r="CS142" s="342">
        <f t="shared" ref="CS142:CS144" si="1880">IFERROR(VLOOKUP(CK117,$D$116:$G$119,4,0),0)</f>
        <v>0</v>
      </c>
      <c r="CT142" s="343"/>
      <c r="CV142"/>
      <c r="CW142"/>
      <c r="CX142"/>
      <c r="CY142" s="342"/>
      <c r="CZ142" s="342"/>
      <c r="DA142" s="342"/>
      <c r="DB142" s="342">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2">
        <f t="shared" ref="DC142:DC144" si="1882">IFERROR(VLOOKUP(CV117,$B$116:$F$119,5,0),0)</f>
        <v>0</v>
      </c>
      <c r="DD142" s="342">
        <f t="shared" ref="DD142:DD144" si="1883">IFERROR(VLOOKUP(CX117,$B$116:$F$119,5,0),0)</f>
        <v>0</v>
      </c>
      <c r="DE142" s="342">
        <f t="shared" ref="DE142:DE144" si="1884">IFERROR(VLOOKUP(CV117,$D$116:$G$119,4,0),0)</f>
        <v>0</v>
      </c>
      <c r="DF142" s="342">
        <f t="shared" ref="DF142:DF144" si="1885">IFERROR(VLOOKUP(CX117,$D$116:$G$119,4,0),0)</f>
        <v>0</v>
      </c>
      <c r="DG142" s="343"/>
      <c r="DI142"/>
      <c r="DJ142"/>
      <c r="DK142"/>
      <c r="DL142" s="342"/>
      <c r="DM142" s="342"/>
      <c r="DN142" s="342"/>
      <c r="DO142" s="342">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2">
        <f t="shared" ref="DP142:DP144" si="1887">IFERROR(VLOOKUP(DI117,$B$116:$F$119,5,0),0)</f>
        <v>0</v>
      </c>
      <c r="DQ142" s="342">
        <f t="shared" ref="DQ142:DQ144" si="1888">IFERROR(VLOOKUP(DK117,$B$116:$F$119,5,0),0)</f>
        <v>0</v>
      </c>
      <c r="DR142" s="342">
        <f t="shared" ref="DR142:DR144" si="1889">IFERROR(VLOOKUP(DI117,$D$116:$G$119,4,0),0)</f>
        <v>0</v>
      </c>
      <c r="DS142" s="342">
        <f t="shared" ref="DS142:DS144" si="1890">IFERROR(VLOOKUP(DK117,$D$116:$G$119,4,0),0)</f>
        <v>0</v>
      </c>
      <c r="DT142" s="343"/>
      <c r="DV142"/>
      <c r="DW142"/>
      <c r="DX142"/>
      <c r="DY142" s="342"/>
      <c r="DZ142" s="342"/>
      <c r="EA142" s="342"/>
      <c r="EB142" s="342">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2">
        <f t="shared" ref="EC142:EC144" si="1892">IFERROR(VLOOKUP(DV117,$B$116:$F$119,5,0),0)</f>
        <v>0</v>
      </c>
      <c r="ED142" s="342">
        <f t="shared" ref="ED142:ED144" si="1893">IFERROR(VLOOKUP(DX117,$B$116:$F$119,5,0),0)</f>
        <v>0</v>
      </c>
      <c r="EE142" s="342">
        <f t="shared" ref="EE142:EE144" si="1894">IFERROR(VLOOKUP(DV117,$D$116:$G$119,4,0),0)</f>
        <v>0</v>
      </c>
      <c r="EF142" s="342">
        <f t="shared" ref="EF142:EF144" si="1895">IFERROR(VLOOKUP(DX117,$D$116:$G$119,4,0),0)</f>
        <v>0</v>
      </c>
      <c r="EG142" s="343"/>
      <c r="EI142"/>
      <c r="EJ142"/>
      <c r="EK142"/>
      <c r="EL142" s="342"/>
      <c r="EM142" s="342"/>
      <c r="EN142" s="342"/>
      <c r="EO142" s="342">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2">
        <f t="shared" ref="EP142:EP144" si="1897">IFERROR(VLOOKUP(EI117,$B$116:$F$119,5,0),0)</f>
        <v>0</v>
      </c>
      <c r="EQ142" s="342">
        <f t="shared" ref="EQ142:EQ144" si="1898">IFERROR(VLOOKUP(EK117,$B$116:$F$119,5,0),0)</f>
        <v>0</v>
      </c>
      <c r="ER142" s="342">
        <f t="shared" ref="ER142:ER144" si="1899">IFERROR(VLOOKUP(EI117,$D$116:$G$119,4,0),0)</f>
        <v>0</v>
      </c>
      <c r="ES142" s="342">
        <f t="shared" ref="ES142:ES144" si="1900">IFERROR(VLOOKUP(EK117,$D$116:$G$119,4,0),0)</f>
        <v>0</v>
      </c>
      <c r="ET142" s="343"/>
      <c r="EV142"/>
      <c r="EW142"/>
      <c r="EX142"/>
      <c r="EY142" s="342"/>
      <c r="EZ142" s="342"/>
      <c r="FA142" s="342"/>
      <c r="FB142" s="342">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2">
        <f t="shared" ref="FC142:FC144" si="1902">IFERROR(VLOOKUP(EV117,$B$116:$F$119,5,0),0)</f>
        <v>0</v>
      </c>
      <c r="FD142" s="342">
        <f t="shared" ref="FD142:FD144" si="1903">IFERROR(VLOOKUP(EX117,$B$116:$F$119,5,0),0)</f>
        <v>0</v>
      </c>
      <c r="FE142" s="342">
        <f t="shared" ref="FE142:FE144" si="1904">IFERROR(VLOOKUP(EV117,$D$116:$G$119,4,0),0)</f>
        <v>0</v>
      </c>
      <c r="FF142" s="342">
        <f t="shared" ref="FF142:FF144" si="1905">IFERROR(VLOOKUP(EX117,$D$116:$G$119,4,0),0)</f>
        <v>0</v>
      </c>
      <c r="FG142" s="343"/>
      <c r="FI142"/>
      <c r="FJ142"/>
      <c r="FK142"/>
      <c r="FL142" s="342"/>
      <c r="FM142" s="342"/>
      <c r="FN142" s="342"/>
      <c r="FO142" s="342">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2">
        <f t="shared" ref="FP142:FP144" si="1907">IFERROR(VLOOKUP(FI117,$B$116:$F$119,5,0),0)</f>
        <v>0</v>
      </c>
      <c r="FQ142" s="342">
        <f t="shared" ref="FQ142:FQ144" si="1908">IFERROR(VLOOKUP(FK117,$B$116:$F$119,5,0),0)</f>
        <v>0</v>
      </c>
      <c r="FR142" s="342">
        <f t="shared" ref="FR142:FR144" si="1909">IFERROR(VLOOKUP(FI117,$D$116:$G$119,4,0),0)</f>
        <v>0</v>
      </c>
      <c r="FS142" s="342">
        <f t="shared" ref="FS142:FS144" si="1910">IFERROR(VLOOKUP(FK117,$D$116:$G$119,4,0),0)</f>
        <v>0</v>
      </c>
      <c r="FT142" s="343"/>
      <c r="FV142"/>
      <c r="FW142"/>
      <c r="FX142"/>
      <c r="FY142" s="342"/>
      <c r="FZ142" s="342"/>
      <c r="GA142" s="342"/>
      <c r="GB142" s="342">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2">
        <f t="shared" ref="GC142:GC144" si="1912">IFERROR(VLOOKUP(FV117,$B$116:$F$119,5,0),0)</f>
        <v>0</v>
      </c>
      <c r="GD142" s="342">
        <f t="shared" ref="GD142:GD144" si="1913">IFERROR(VLOOKUP(FX117,$B$116:$F$119,5,0),0)</f>
        <v>0</v>
      </c>
      <c r="GE142" s="342">
        <f t="shared" ref="GE142:GE144" si="1914">IFERROR(VLOOKUP(FV117,$D$116:$G$119,4,0),0)</f>
        <v>0</v>
      </c>
      <c r="GF142" s="342">
        <f t="shared" ref="GF142:GF144" si="1915">IFERROR(VLOOKUP(FX117,$D$116:$G$119,4,0),0)</f>
        <v>0</v>
      </c>
      <c r="GG142" s="343"/>
      <c r="GI142"/>
      <c r="GJ142"/>
      <c r="GK142"/>
      <c r="GL142" s="342"/>
      <c r="GM142" s="342"/>
      <c r="GN142" s="342"/>
      <c r="GO142" s="342">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2">
        <f t="shared" ref="GP142:GP144" si="1917">IFERROR(VLOOKUP(GI117,$B$116:$F$119,5,0),0)</f>
        <v>0</v>
      </c>
      <c r="GQ142" s="342">
        <f t="shared" ref="GQ142:GQ144" si="1918">IFERROR(VLOOKUP(GK117,$B$116:$F$119,5,0),0)</f>
        <v>0</v>
      </c>
      <c r="GR142" s="342">
        <f t="shared" ref="GR142:GR144" si="1919">IFERROR(VLOOKUP(GI117,$D$116:$G$119,4,0),0)</f>
        <v>0</v>
      </c>
      <c r="GS142" s="342">
        <f t="shared" ref="GS142:GS144" si="1920">IFERROR(VLOOKUP(GK117,$D$116:$G$119,4,0),0)</f>
        <v>0</v>
      </c>
      <c r="GT142" s="343"/>
      <c r="GV142"/>
      <c r="GW142"/>
      <c r="GX142"/>
      <c r="GY142" s="342"/>
      <c r="GZ142" s="342"/>
      <c r="HA142" s="342"/>
      <c r="HB142" s="342">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2">
        <f t="shared" ref="HC142:HC144" si="1922">IFERROR(VLOOKUP(GV117,$B$116:$F$119,5,0),0)</f>
        <v>0</v>
      </c>
      <c r="HD142" s="342">
        <f t="shared" ref="HD142:HD144" si="1923">IFERROR(VLOOKUP(GX117,$B$116:$F$119,5,0),0)</f>
        <v>0</v>
      </c>
      <c r="HE142" s="342">
        <f t="shared" ref="HE142:HE144" si="1924">IFERROR(VLOOKUP(GV117,$D$116:$G$119,4,0),0)</f>
        <v>0</v>
      </c>
      <c r="HF142" s="342">
        <f t="shared" ref="HF142:HF144" si="1925">IFERROR(VLOOKUP(GX117,$D$116:$G$119,4,0),0)</f>
        <v>0</v>
      </c>
      <c r="HG142" s="343"/>
      <c r="HI142"/>
      <c r="HJ142"/>
      <c r="HK142"/>
      <c r="HL142" s="342"/>
      <c r="HM142" s="342"/>
      <c r="HN142" s="342"/>
      <c r="HO142" s="342">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2">
        <f t="shared" ref="HP142:HP144" si="1927">IFERROR(VLOOKUP(HI117,$B$116:$F$119,5,0),0)</f>
        <v>0</v>
      </c>
      <c r="HQ142" s="342">
        <f t="shared" ref="HQ142:HQ144" si="1928">IFERROR(VLOOKUP(HK117,$B$116:$F$119,5,0),0)</f>
        <v>0</v>
      </c>
      <c r="HR142" s="342">
        <f t="shared" ref="HR142:HR144" si="1929">IFERROR(VLOOKUP(HI117,$D$116:$G$119,4,0),0)</f>
        <v>0</v>
      </c>
      <c r="HS142" s="342">
        <f t="shared" ref="HS142:HS144" si="1930">IFERROR(VLOOKUP(HK117,$D$116:$G$119,4,0),0)</f>
        <v>0</v>
      </c>
      <c r="HT142" s="343"/>
      <c r="HV142"/>
      <c r="HW142"/>
      <c r="HX142"/>
      <c r="HY142" s="342"/>
      <c r="HZ142" s="342"/>
      <c r="IA142" s="342"/>
      <c r="IB142" s="342">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2">
        <f t="shared" ref="IC142:IC144" si="1932">IFERROR(VLOOKUP(HV117,$B$116:$F$119,5,0),0)</f>
        <v>0</v>
      </c>
      <c r="ID142" s="342">
        <f t="shared" ref="ID142:ID144" si="1933">IFERROR(VLOOKUP(HX117,$B$116:$F$119,5,0),0)</f>
        <v>0</v>
      </c>
      <c r="IE142" s="342">
        <f t="shared" ref="IE142:IE144" si="1934">IFERROR(VLOOKUP(HV117,$D$116:$G$119,4,0),0)</f>
        <v>0</v>
      </c>
      <c r="IF142" s="342">
        <f t="shared" ref="IF142:IF144" si="1935">IFERROR(VLOOKUP(HX117,$D$116:$G$119,4,0),0)</f>
        <v>0</v>
      </c>
      <c r="IG142" s="343"/>
      <c r="II142"/>
      <c r="IJ142"/>
      <c r="IK142"/>
      <c r="IL142" s="342"/>
      <c r="IM142" s="342"/>
      <c r="IN142" s="342"/>
      <c r="IO142" s="342">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2">
        <f t="shared" ref="IP142:IP144" si="1937">IFERROR(VLOOKUP(II117,$B$116:$F$119,5,0),0)</f>
        <v>0</v>
      </c>
      <c r="IQ142" s="342">
        <f t="shared" ref="IQ142:IQ144" si="1938">IFERROR(VLOOKUP(IK117,$B$116:$F$119,5,0),0)</f>
        <v>0</v>
      </c>
      <c r="IR142" s="342">
        <f t="shared" ref="IR142:IR144" si="1939">IFERROR(VLOOKUP(II117,$D$116:$G$119,4,0),0)</f>
        <v>0</v>
      </c>
      <c r="IS142" s="342">
        <f t="shared" ref="IS142:IS144" si="1940">IFERROR(VLOOKUP(IK117,$D$116:$G$119,4,0),0)</f>
        <v>0</v>
      </c>
      <c r="IT142" s="343"/>
      <c r="IV142"/>
      <c r="IW142"/>
      <c r="IX142"/>
      <c r="IY142" s="342"/>
      <c r="IZ142" s="342"/>
      <c r="JA142" s="342"/>
      <c r="JB142" s="342">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2">
        <f t="shared" ref="JC142:JC144" si="1942">IFERROR(VLOOKUP(IV117,$B$116:$F$119,5,0),0)</f>
        <v>0</v>
      </c>
      <c r="JD142" s="342">
        <f t="shared" ref="JD142:JD144" si="1943">IFERROR(VLOOKUP(IX117,$B$116:$F$119,5,0),0)</f>
        <v>0</v>
      </c>
      <c r="JE142" s="342">
        <f t="shared" ref="JE142:JE144" si="1944">IFERROR(VLOOKUP(IV117,$D$116:$G$119,4,0),0)</f>
        <v>0</v>
      </c>
      <c r="JF142" s="342">
        <f t="shared" ref="JF142:JF144" si="1945">IFERROR(VLOOKUP(IX117,$D$116:$G$119,4,0),0)</f>
        <v>0</v>
      </c>
      <c r="JG142" s="343"/>
      <c r="JI142"/>
      <c r="JJ142"/>
      <c r="JK142"/>
      <c r="JL142" s="342"/>
      <c r="JM142" s="342"/>
      <c r="JN142" s="342"/>
      <c r="JO142" s="342">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2">
        <f t="shared" ref="JP142:JP144" si="1947">IFERROR(VLOOKUP(JI117,$B$116:$F$119,5,0),0)</f>
        <v>0</v>
      </c>
      <c r="JQ142" s="342">
        <f t="shared" ref="JQ142:JQ144" si="1948">IFERROR(VLOOKUP(JK117,$B$116:$F$119,5,0),0)</f>
        <v>0</v>
      </c>
      <c r="JR142" s="342">
        <f t="shared" ref="JR142:JR144" si="1949">IFERROR(VLOOKUP(JI117,$D$116:$G$119,4,0),0)</f>
        <v>0</v>
      </c>
      <c r="JS142" s="342">
        <f t="shared" ref="JS142:JS144" si="1950">IFERROR(VLOOKUP(JK117,$D$116:$G$119,4,0),0)</f>
        <v>0</v>
      </c>
      <c r="JT142" s="343"/>
      <c r="JV142"/>
      <c r="JW142"/>
      <c r="JX142"/>
      <c r="JY142" s="342"/>
      <c r="JZ142" s="342"/>
      <c r="KA142" s="342"/>
      <c r="KB142" s="342">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2">
        <f t="shared" ref="KC142:KC144" si="1952">IFERROR(VLOOKUP(JV117,$B$116:$F$119,5,0),0)</f>
        <v>0</v>
      </c>
      <c r="KD142" s="342">
        <f t="shared" ref="KD142:KD144" si="1953">IFERROR(VLOOKUP(JX117,$B$116:$F$119,5,0),0)</f>
        <v>0</v>
      </c>
      <c r="KE142" s="342">
        <f t="shared" ref="KE142:KE144" si="1954">IFERROR(VLOOKUP(JV117,$D$116:$G$119,4,0),0)</f>
        <v>0</v>
      </c>
      <c r="KF142" s="342">
        <f t="shared" ref="KF142:KF144" si="1955">IFERROR(VLOOKUP(JX117,$D$116:$G$119,4,0),0)</f>
        <v>0</v>
      </c>
      <c r="KG142" s="343"/>
      <c r="KI142"/>
      <c r="KJ142"/>
      <c r="KK142"/>
      <c r="KL142" s="342"/>
      <c r="KM142" s="342"/>
      <c r="KN142" s="342"/>
      <c r="KO142" s="342">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2">
        <f t="shared" ref="KP142:KP144" si="1957">IFERROR(VLOOKUP(KI117,$B$116:$F$119,5,0),0)</f>
        <v>0</v>
      </c>
      <c r="KQ142" s="342">
        <f t="shared" ref="KQ142:KQ144" si="1958">IFERROR(VLOOKUP(KK117,$B$116:$F$119,5,0),0)</f>
        <v>0</v>
      </c>
      <c r="KR142" s="342">
        <f t="shared" ref="KR142:KR144" si="1959">IFERROR(VLOOKUP(KI117,$D$116:$G$119,4,0),0)</f>
        <v>0</v>
      </c>
      <c r="KS142" s="342">
        <f t="shared" ref="KS142:KS144" si="1960">IFERROR(VLOOKUP(KK117,$D$116:$G$119,4,0),0)</f>
        <v>0</v>
      </c>
      <c r="KT142" s="343"/>
      <c r="KV142"/>
      <c r="KW142"/>
      <c r="KX142"/>
      <c r="KY142" s="342"/>
      <c r="KZ142" s="342"/>
      <c r="LA142" s="342"/>
      <c r="LB142" s="342">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2">
        <f t="shared" ref="LC142:LC144" si="1962">IFERROR(VLOOKUP(KV117,$B$116:$F$119,5,0),0)</f>
        <v>0</v>
      </c>
      <c r="LD142" s="342">
        <f t="shared" ref="LD142:LD144" si="1963">IFERROR(VLOOKUP(KX117,$B$116:$F$119,5,0),0)</f>
        <v>0</v>
      </c>
      <c r="LE142" s="342">
        <f t="shared" ref="LE142:LE144" si="1964">IFERROR(VLOOKUP(KV117,$D$116:$G$119,4,0),0)</f>
        <v>0</v>
      </c>
      <c r="LF142" s="342">
        <f t="shared" ref="LF142:LF144" si="1965">IFERROR(VLOOKUP(KX117,$D$116:$G$119,4,0),0)</f>
        <v>0</v>
      </c>
      <c r="LG142" s="343"/>
      <c r="LI142"/>
      <c r="LJ142"/>
      <c r="LK142"/>
      <c r="LL142" s="342"/>
      <c r="LM142" s="342"/>
      <c r="LN142" s="342"/>
      <c r="LO142" s="342">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2">
        <f t="shared" ref="LP142:LP144" si="1967">IFERROR(VLOOKUP(LI117,$B$116:$F$119,5,0),0)</f>
        <v>0</v>
      </c>
      <c r="LQ142" s="342">
        <f t="shared" ref="LQ142:LQ144" si="1968">IFERROR(VLOOKUP(LK117,$B$116:$F$119,5,0),0)</f>
        <v>0</v>
      </c>
      <c r="LR142" s="342">
        <f t="shared" ref="LR142:LR144" si="1969">IFERROR(VLOOKUP(LI117,$D$116:$G$119,4,0),0)</f>
        <v>0</v>
      </c>
      <c r="LS142" s="342">
        <f t="shared" ref="LS142:LS144" si="1970">IFERROR(VLOOKUP(LK117,$D$116:$G$119,4,0),0)</f>
        <v>0</v>
      </c>
      <c r="LT142" s="343"/>
      <c r="LV142"/>
      <c r="LW142"/>
      <c r="LX142"/>
      <c r="LY142" s="342"/>
      <c r="LZ142" s="342"/>
      <c r="MA142" s="342"/>
      <c r="MB142" s="342">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2">
        <f t="shared" ref="MC142:MC144" si="1972">IFERROR(VLOOKUP(LV117,$B$116:$F$119,5,0),0)</f>
        <v>0</v>
      </c>
      <c r="MD142" s="342">
        <f t="shared" ref="MD142:MD144" si="1973">IFERROR(VLOOKUP(LX117,$B$116:$F$119,5,0),0)</f>
        <v>0</v>
      </c>
      <c r="ME142" s="342">
        <f t="shared" ref="ME142:ME144" si="1974">IFERROR(VLOOKUP(LV117,$D$116:$G$119,4,0),0)</f>
        <v>0</v>
      </c>
      <c r="MF142" s="342">
        <f t="shared" ref="MF142:MF144" si="1975">IFERROR(VLOOKUP(LX117,$D$116:$G$119,4,0),0)</f>
        <v>0</v>
      </c>
      <c r="MG142" s="343"/>
    </row>
    <row r="143" spans="2:345">
      <c r="I143"/>
      <c r="J143"/>
      <c r="K143"/>
      <c r="L143" s="342"/>
      <c r="M143" s="342"/>
      <c r="N143" s="342"/>
      <c r="O143" s="342">
        <f t="shared" si="1846"/>
        <v>1</v>
      </c>
      <c r="P143" s="342">
        <f t="shared" si="1847"/>
        <v>0</v>
      </c>
      <c r="Q143" s="342">
        <f t="shared" si="1848"/>
        <v>0</v>
      </c>
      <c r="R143" s="342">
        <f t="shared" si="1849"/>
        <v>0</v>
      </c>
      <c r="S143" s="342">
        <f t="shared" si="1850"/>
        <v>0</v>
      </c>
      <c r="T143" s="343"/>
      <c r="V143"/>
      <c r="W143"/>
      <c r="X143"/>
      <c r="Y143" s="342"/>
      <c r="Z143" s="342"/>
      <c r="AA143" s="342"/>
      <c r="AB143" s="342">
        <f t="shared" si="1851"/>
        <v>1</v>
      </c>
      <c r="AC143" s="342">
        <f t="shared" si="1852"/>
        <v>0</v>
      </c>
      <c r="AD143" s="342">
        <f t="shared" si="1853"/>
        <v>0</v>
      </c>
      <c r="AE143" s="342">
        <f t="shared" si="1854"/>
        <v>0</v>
      </c>
      <c r="AF143" s="342">
        <f t="shared" si="1855"/>
        <v>0</v>
      </c>
      <c r="AG143" s="343"/>
      <c r="AI143"/>
      <c r="AJ143"/>
      <c r="AK143"/>
      <c r="AL143" s="342"/>
      <c r="AM143" s="342"/>
      <c r="AN143" s="342"/>
      <c r="AO143" s="342">
        <f t="shared" si="1856"/>
        <v>1</v>
      </c>
      <c r="AP143" s="342">
        <f t="shared" si="1857"/>
        <v>0</v>
      </c>
      <c r="AQ143" s="342">
        <f t="shared" si="1858"/>
        <v>0</v>
      </c>
      <c r="AR143" s="342">
        <f t="shared" si="1859"/>
        <v>0</v>
      </c>
      <c r="AS143" s="342">
        <f t="shared" si="1860"/>
        <v>0</v>
      </c>
      <c r="AT143" s="343"/>
      <c r="AV143"/>
      <c r="AW143"/>
      <c r="AX143"/>
      <c r="AY143" s="342"/>
      <c r="AZ143" s="342"/>
      <c r="BA143" s="342"/>
      <c r="BB143" s="342">
        <f t="shared" si="1861"/>
        <v>1</v>
      </c>
      <c r="BC143" s="342">
        <f t="shared" si="1862"/>
        <v>0</v>
      </c>
      <c r="BD143" s="342">
        <f t="shared" si="1863"/>
        <v>0</v>
      </c>
      <c r="BE143" s="342">
        <f t="shared" si="1864"/>
        <v>0</v>
      </c>
      <c r="BF143" s="342">
        <f t="shared" si="1865"/>
        <v>0</v>
      </c>
      <c r="BG143" s="343"/>
      <c r="BI143"/>
      <c r="BJ143"/>
      <c r="BK143"/>
      <c r="BL143" s="342"/>
      <c r="BM143" s="342"/>
      <c r="BN143" s="342"/>
      <c r="BO143" s="342">
        <f t="shared" si="1866"/>
        <v>1</v>
      </c>
      <c r="BP143" s="342">
        <f t="shared" si="1867"/>
        <v>0</v>
      </c>
      <c r="BQ143" s="342">
        <f t="shared" si="1868"/>
        <v>0</v>
      </c>
      <c r="BR143" s="342">
        <f t="shared" si="1869"/>
        <v>0</v>
      </c>
      <c r="BS143" s="342">
        <f t="shared" si="1870"/>
        <v>0</v>
      </c>
      <c r="BT143" s="343"/>
      <c r="BV143"/>
      <c r="BW143"/>
      <c r="BX143"/>
      <c r="BY143" s="342"/>
      <c r="BZ143" s="342"/>
      <c r="CA143" s="342"/>
      <c r="CB143" s="342">
        <f t="shared" si="1871"/>
        <v>1</v>
      </c>
      <c r="CC143" s="342">
        <f t="shared" si="1872"/>
        <v>0</v>
      </c>
      <c r="CD143" s="342">
        <f t="shared" si="1873"/>
        <v>0</v>
      </c>
      <c r="CE143" s="342">
        <f t="shared" si="1874"/>
        <v>0</v>
      </c>
      <c r="CF143" s="342">
        <f t="shared" si="1875"/>
        <v>0</v>
      </c>
      <c r="CG143" s="343"/>
      <c r="CI143"/>
      <c r="CJ143"/>
      <c r="CK143"/>
      <c r="CL143" s="342"/>
      <c r="CM143" s="342"/>
      <c r="CN143" s="342"/>
      <c r="CO143" s="342">
        <f t="shared" si="1876"/>
        <v>1</v>
      </c>
      <c r="CP143" s="342">
        <f t="shared" si="1877"/>
        <v>0</v>
      </c>
      <c r="CQ143" s="342">
        <f t="shared" si="1878"/>
        <v>0</v>
      </c>
      <c r="CR143" s="342">
        <f t="shared" si="1879"/>
        <v>0</v>
      </c>
      <c r="CS143" s="342">
        <f t="shared" si="1880"/>
        <v>0</v>
      </c>
      <c r="CT143" s="343"/>
      <c r="CV143"/>
      <c r="CW143"/>
      <c r="CX143"/>
      <c r="CY143" s="342"/>
      <c r="CZ143" s="342"/>
      <c r="DA143" s="342"/>
      <c r="DB143" s="342">
        <f t="shared" si="1881"/>
        <v>1</v>
      </c>
      <c r="DC143" s="342">
        <f t="shared" si="1882"/>
        <v>0</v>
      </c>
      <c r="DD143" s="342">
        <f t="shared" si="1883"/>
        <v>0</v>
      </c>
      <c r="DE143" s="342">
        <f t="shared" si="1884"/>
        <v>0</v>
      </c>
      <c r="DF143" s="342">
        <f t="shared" si="1885"/>
        <v>0</v>
      </c>
      <c r="DG143" s="343"/>
      <c r="DI143"/>
      <c r="DJ143"/>
      <c r="DK143"/>
      <c r="DL143" s="342"/>
      <c r="DM143" s="342"/>
      <c r="DN143" s="342"/>
      <c r="DO143" s="342">
        <f t="shared" si="1886"/>
        <v>1</v>
      </c>
      <c r="DP143" s="342">
        <f t="shared" si="1887"/>
        <v>0</v>
      </c>
      <c r="DQ143" s="342">
        <f t="shared" si="1888"/>
        <v>0</v>
      </c>
      <c r="DR143" s="342">
        <f t="shared" si="1889"/>
        <v>0</v>
      </c>
      <c r="DS143" s="342">
        <f t="shared" si="1890"/>
        <v>0</v>
      </c>
      <c r="DT143" s="343"/>
      <c r="DV143"/>
      <c r="DW143"/>
      <c r="DX143"/>
      <c r="DY143" s="342"/>
      <c r="DZ143" s="342"/>
      <c r="EA143" s="342"/>
      <c r="EB143" s="342">
        <f t="shared" si="1891"/>
        <v>1</v>
      </c>
      <c r="EC143" s="342">
        <f t="shared" si="1892"/>
        <v>0</v>
      </c>
      <c r="ED143" s="342">
        <f t="shared" si="1893"/>
        <v>0</v>
      </c>
      <c r="EE143" s="342">
        <f t="shared" si="1894"/>
        <v>0</v>
      </c>
      <c r="EF143" s="342">
        <f t="shared" si="1895"/>
        <v>0</v>
      </c>
      <c r="EG143" s="343"/>
      <c r="EI143"/>
      <c r="EJ143"/>
      <c r="EK143"/>
      <c r="EL143" s="342"/>
      <c r="EM143" s="342"/>
      <c r="EN143" s="342"/>
      <c r="EO143" s="342">
        <f t="shared" si="1896"/>
        <v>1</v>
      </c>
      <c r="EP143" s="342">
        <f t="shared" si="1897"/>
        <v>0</v>
      </c>
      <c r="EQ143" s="342">
        <f t="shared" si="1898"/>
        <v>0</v>
      </c>
      <c r="ER143" s="342">
        <f t="shared" si="1899"/>
        <v>0</v>
      </c>
      <c r="ES143" s="342">
        <f t="shared" si="1900"/>
        <v>0</v>
      </c>
      <c r="ET143" s="343"/>
      <c r="EV143"/>
      <c r="EW143"/>
      <c r="EX143"/>
      <c r="EY143" s="342"/>
      <c r="EZ143" s="342"/>
      <c r="FA143" s="342"/>
      <c r="FB143" s="342">
        <f t="shared" si="1901"/>
        <v>1</v>
      </c>
      <c r="FC143" s="342">
        <f t="shared" si="1902"/>
        <v>0</v>
      </c>
      <c r="FD143" s="342">
        <f t="shared" si="1903"/>
        <v>0</v>
      </c>
      <c r="FE143" s="342">
        <f t="shared" si="1904"/>
        <v>0</v>
      </c>
      <c r="FF143" s="342">
        <f t="shared" si="1905"/>
        <v>0</v>
      </c>
      <c r="FG143" s="343"/>
      <c r="FI143"/>
      <c r="FJ143"/>
      <c r="FK143"/>
      <c r="FL143" s="342"/>
      <c r="FM143" s="342"/>
      <c r="FN143" s="342"/>
      <c r="FO143" s="342">
        <f t="shared" si="1906"/>
        <v>1</v>
      </c>
      <c r="FP143" s="342">
        <f t="shared" si="1907"/>
        <v>0</v>
      </c>
      <c r="FQ143" s="342">
        <f t="shared" si="1908"/>
        <v>0</v>
      </c>
      <c r="FR143" s="342">
        <f t="shared" si="1909"/>
        <v>0</v>
      </c>
      <c r="FS143" s="342">
        <f t="shared" si="1910"/>
        <v>0</v>
      </c>
      <c r="FT143" s="343"/>
      <c r="FV143"/>
      <c r="FW143"/>
      <c r="FX143"/>
      <c r="FY143" s="342"/>
      <c r="FZ143" s="342"/>
      <c r="GA143" s="342"/>
      <c r="GB143" s="342">
        <f t="shared" si="1911"/>
        <v>1</v>
      </c>
      <c r="GC143" s="342">
        <f t="shared" si="1912"/>
        <v>0</v>
      </c>
      <c r="GD143" s="342">
        <f t="shared" si="1913"/>
        <v>0</v>
      </c>
      <c r="GE143" s="342">
        <f t="shared" si="1914"/>
        <v>0</v>
      </c>
      <c r="GF143" s="342">
        <f t="shared" si="1915"/>
        <v>0</v>
      </c>
      <c r="GG143" s="343"/>
      <c r="GI143"/>
      <c r="GJ143"/>
      <c r="GK143"/>
      <c r="GL143" s="342"/>
      <c r="GM143" s="342"/>
      <c r="GN143" s="342"/>
      <c r="GO143" s="342">
        <f t="shared" si="1916"/>
        <v>1</v>
      </c>
      <c r="GP143" s="342">
        <f t="shared" si="1917"/>
        <v>0</v>
      </c>
      <c r="GQ143" s="342">
        <f t="shared" si="1918"/>
        <v>0</v>
      </c>
      <c r="GR143" s="342">
        <f t="shared" si="1919"/>
        <v>0</v>
      </c>
      <c r="GS143" s="342">
        <f t="shared" si="1920"/>
        <v>0</v>
      </c>
      <c r="GT143" s="343"/>
      <c r="GV143"/>
      <c r="GW143"/>
      <c r="GX143"/>
      <c r="GY143" s="342"/>
      <c r="GZ143" s="342"/>
      <c r="HA143" s="342"/>
      <c r="HB143" s="342">
        <f t="shared" si="1921"/>
        <v>1</v>
      </c>
      <c r="HC143" s="342">
        <f t="shared" si="1922"/>
        <v>0</v>
      </c>
      <c r="HD143" s="342">
        <f t="shared" si="1923"/>
        <v>0</v>
      </c>
      <c r="HE143" s="342">
        <f t="shared" si="1924"/>
        <v>0</v>
      </c>
      <c r="HF143" s="342">
        <f t="shared" si="1925"/>
        <v>0</v>
      </c>
      <c r="HG143" s="343"/>
      <c r="HI143"/>
      <c r="HJ143"/>
      <c r="HK143"/>
      <c r="HL143" s="342"/>
      <c r="HM143" s="342"/>
      <c r="HN143" s="342"/>
      <c r="HO143" s="342">
        <f t="shared" si="1926"/>
        <v>1</v>
      </c>
      <c r="HP143" s="342">
        <f t="shared" si="1927"/>
        <v>0</v>
      </c>
      <c r="HQ143" s="342">
        <f t="shared" si="1928"/>
        <v>0</v>
      </c>
      <c r="HR143" s="342">
        <f t="shared" si="1929"/>
        <v>0</v>
      </c>
      <c r="HS143" s="342">
        <f t="shared" si="1930"/>
        <v>0</v>
      </c>
      <c r="HT143" s="343"/>
      <c r="HV143"/>
      <c r="HW143"/>
      <c r="HX143"/>
      <c r="HY143" s="342"/>
      <c r="HZ143" s="342"/>
      <c r="IA143" s="342"/>
      <c r="IB143" s="342">
        <f t="shared" si="1931"/>
        <v>1</v>
      </c>
      <c r="IC143" s="342">
        <f t="shared" si="1932"/>
        <v>0</v>
      </c>
      <c r="ID143" s="342">
        <f t="shared" si="1933"/>
        <v>0</v>
      </c>
      <c r="IE143" s="342">
        <f t="shared" si="1934"/>
        <v>0</v>
      </c>
      <c r="IF143" s="342">
        <f t="shared" si="1935"/>
        <v>0</v>
      </c>
      <c r="IG143" s="343"/>
      <c r="II143"/>
      <c r="IJ143"/>
      <c r="IK143"/>
      <c r="IL143" s="342"/>
      <c r="IM143" s="342"/>
      <c r="IN143" s="342"/>
      <c r="IO143" s="342">
        <f t="shared" si="1936"/>
        <v>1</v>
      </c>
      <c r="IP143" s="342">
        <f t="shared" si="1937"/>
        <v>0</v>
      </c>
      <c r="IQ143" s="342">
        <f t="shared" si="1938"/>
        <v>0</v>
      </c>
      <c r="IR143" s="342">
        <f t="shared" si="1939"/>
        <v>0</v>
      </c>
      <c r="IS143" s="342">
        <f t="shared" si="1940"/>
        <v>0</v>
      </c>
      <c r="IT143" s="343"/>
      <c r="IV143"/>
      <c r="IW143"/>
      <c r="IX143"/>
      <c r="IY143" s="342"/>
      <c r="IZ143" s="342"/>
      <c r="JA143" s="342"/>
      <c r="JB143" s="342">
        <f t="shared" si="1941"/>
        <v>1</v>
      </c>
      <c r="JC143" s="342">
        <f t="shared" si="1942"/>
        <v>0</v>
      </c>
      <c r="JD143" s="342">
        <f t="shared" si="1943"/>
        <v>0</v>
      </c>
      <c r="JE143" s="342">
        <f t="shared" si="1944"/>
        <v>0</v>
      </c>
      <c r="JF143" s="342">
        <f t="shared" si="1945"/>
        <v>0</v>
      </c>
      <c r="JG143" s="343"/>
      <c r="JI143"/>
      <c r="JJ143"/>
      <c r="JK143"/>
      <c r="JL143" s="342"/>
      <c r="JM143" s="342"/>
      <c r="JN143" s="342"/>
      <c r="JO143" s="342">
        <f t="shared" si="1946"/>
        <v>1</v>
      </c>
      <c r="JP143" s="342">
        <f t="shared" si="1947"/>
        <v>0</v>
      </c>
      <c r="JQ143" s="342">
        <f t="shared" si="1948"/>
        <v>0</v>
      </c>
      <c r="JR143" s="342">
        <f t="shared" si="1949"/>
        <v>0</v>
      </c>
      <c r="JS143" s="342">
        <f t="shared" si="1950"/>
        <v>0</v>
      </c>
      <c r="JT143" s="343"/>
      <c r="JV143"/>
      <c r="JW143"/>
      <c r="JX143"/>
      <c r="JY143" s="342"/>
      <c r="JZ143" s="342"/>
      <c r="KA143" s="342"/>
      <c r="KB143" s="342">
        <f t="shared" si="1951"/>
        <v>1</v>
      </c>
      <c r="KC143" s="342">
        <f t="shared" si="1952"/>
        <v>0</v>
      </c>
      <c r="KD143" s="342">
        <f t="shared" si="1953"/>
        <v>0</v>
      </c>
      <c r="KE143" s="342">
        <f t="shared" si="1954"/>
        <v>0</v>
      </c>
      <c r="KF143" s="342">
        <f t="shared" si="1955"/>
        <v>0</v>
      </c>
      <c r="KG143" s="343"/>
      <c r="KI143"/>
      <c r="KJ143"/>
      <c r="KK143"/>
      <c r="KL143" s="342"/>
      <c r="KM143" s="342"/>
      <c r="KN143" s="342"/>
      <c r="KO143" s="342">
        <f t="shared" si="1956"/>
        <v>1</v>
      </c>
      <c r="KP143" s="342">
        <f t="shared" si="1957"/>
        <v>0</v>
      </c>
      <c r="KQ143" s="342">
        <f t="shared" si="1958"/>
        <v>0</v>
      </c>
      <c r="KR143" s="342">
        <f t="shared" si="1959"/>
        <v>0</v>
      </c>
      <c r="KS143" s="342">
        <f t="shared" si="1960"/>
        <v>0</v>
      </c>
      <c r="KT143" s="343"/>
      <c r="KV143"/>
      <c r="KW143"/>
      <c r="KX143"/>
      <c r="KY143" s="342"/>
      <c r="KZ143" s="342"/>
      <c r="LA143" s="342"/>
      <c r="LB143" s="342">
        <f t="shared" si="1961"/>
        <v>1</v>
      </c>
      <c r="LC143" s="342">
        <f t="shared" si="1962"/>
        <v>0</v>
      </c>
      <c r="LD143" s="342">
        <f t="shared" si="1963"/>
        <v>0</v>
      </c>
      <c r="LE143" s="342">
        <f t="shared" si="1964"/>
        <v>0</v>
      </c>
      <c r="LF143" s="342">
        <f t="shared" si="1965"/>
        <v>0</v>
      </c>
      <c r="LG143" s="343"/>
      <c r="LI143"/>
      <c r="LJ143"/>
      <c r="LK143"/>
      <c r="LL143" s="342"/>
      <c r="LM143" s="342"/>
      <c r="LN143" s="342"/>
      <c r="LO143" s="342">
        <f t="shared" si="1966"/>
        <v>1</v>
      </c>
      <c r="LP143" s="342">
        <f t="shared" si="1967"/>
        <v>0</v>
      </c>
      <c r="LQ143" s="342">
        <f t="shared" si="1968"/>
        <v>0</v>
      </c>
      <c r="LR143" s="342">
        <f t="shared" si="1969"/>
        <v>0</v>
      </c>
      <c r="LS143" s="342">
        <f t="shared" si="1970"/>
        <v>0</v>
      </c>
      <c r="LT143" s="343"/>
      <c r="LV143"/>
      <c r="LW143"/>
      <c r="LX143"/>
      <c r="LY143" s="342"/>
      <c r="LZ143" s="342"/>
      <c r="MA143" s="342"/>
      <c r="MB143" s="342">
        <f t="shared" si="1971"/>
        <v>1</v>
      </c>
      <c r="MC143" s="342">
        <f t="shared" si="1972"/>
        <v>0</v>
      </c>
      <c r="MD143" s="342">
        <f t="shared" si="1973"/>
        <v>0</v>
      </c>
      <c r="ME143" s="342">
        <f t="shared" si="1974"/>
        <v>0</v>
      </c>
      <c r="MF143" s="342">
        <f t="shared" si="1975"/>
        <v>0</v>
      </c>
      <c r="MG143" s="343"/>
    </row>
    <row r="144" spans="2:345">
      <c r="I144"/>
      <c r="J144"/>
      <c r="K144"/>
      <c r="L144" s="342"/>
      <c r="M144" s="342"/>
      <c r="N144" s="342"/>
      <c r="O144" s="342">
        <f t="shared" si="1846"/>
        <v>1</v>
      </c>
      <c r="P144" s="342">
        <f t="shared" si="1847"/>
        <v>0</v>
      </c>
      <c r="Q144" s="342">
        <f t="shared" si="1848"/>
        <v>0</v>
      </c>
      <c r="R144" s="342">
        <f t="shared" si="1849"/>
        <v>0</v>
      </c>
      <c r="S144" s="342">
        <f t="shared" si="1850"/>
        <v>0</v>
      </c>
      <c r="T144" s="343"/>
      <c r="V144"/>
      <c r="W144"/>
      <c r="X144"/>
      <c r="Y144" s="342"/>
      <c r="Z144" s="342"/>
      <c r="AA144" s="342"/>
      <c r="AB144" s="342">
        <f t="shared" si="1851"/>
        <v>1</v>
      </c>
      <c r="AC144" s="342">
        <f t="shared" si="1852"/>
        <v>0</v>
      </c>
      <c r="AD144" s="342">
        <f t="shared" si="1853"/>
        <v>0</v>
      </c>
      <c r="AE144" s="342">
        <f t="shared" si="1854"/>
        <v>0</v>
      </c>
      <c r="AF144" s="342">
        <f t="shared" si="1855"/>
        <v>0</v>
      </c>
      <c r="AG144" s="343"/>
      <c r="AI144"/>
      <c r="AJ144"/>
      <c r="AK144"/>
      <c r="AL144" s="342"/>
      <c r="AM144" s="342"/>
      <c r="AN144" s="342"/>
      <c r="AO144" s="342">
        <f t="shared" si="1856"/>
        <v>1</v>
      </c>
      <c r="AP144" s="342">
        <f t="shared" si="1857"/>
        <v>0</v>
      </c>
      <c r="AQ144" s="342">
        <f t="shared" si="1858"/>
        <v>0</v>
      </c>
      <c r="AR144" s="342">
        <f t="shared" si="1859"/>
        <v>0</v>
      </c>
      <c r="AS144" s="342">
        <f t="shared" si="1860"/>
        <v>0</v>
      </c>
      <c r="AT144" s="343"/>
      <c r="AV144"/>
      <c r="AW144"/>
      <c r="AX144"/>
      <c r="AY144" s="342"/>
      <c r="AZ144" s="342"/>
      <c r="BA144" s="342"/>
      <c r="BB144" s="342">
        <f t="shared" si="1861"/>
        <v>1</v>
      </c>
      <c r="BC144" s="342">
        <f t="shared" si="1862"/>
        <v>0</v>
      </c>
      <c r="BD144" s="342">
        <f t="shared" si="1863"/>
        <v>0</v>
      </c>
      <c r="BE144" s="342">
        <f t="shared" si="1864"/>
        <v>0</v>
      </c>
      <c r="BF144" s="342">
        <f t="shared" si="1865"/>
        <v>0</v>
      </c>
      <c r="BG144" s="343"/>
      <c r="BI144"/>
      <c r="BJ144"/>
      <c r="BK144"/>
      <c r="BL144" s="342"/>
      <c r="BM144" s="342"/>
      <c r="BN144" s="342"/>
      <c r="BO144" s="342">
        <f t="shared" si="1866"/>
        <v>1</v>
      </c>
      <c r="BP144" s="342">
        <f t="shared" si="1867"/>
        <v>0</v>
      </c>
      <c r="BQ144" s="342">
        <f t="shared" si="1868"/>
        <v>0</v>
      </c>
      <c r="BR144" s="342">
        <f t="shared" si="1869"/>
        <v>0</v>
      </c>
      <c r="BS144" s="342">
        <f t="shared" si="1870"/>
        <v>0</v>
      </c>
      <c r="BT144" s="343"/>
      <c r="BV144"/>
      <c r="BW144"/>
      <c r="BX144"/>
      <c r="BY144" s="342"/>
      <c r="BZ144" s="342"/>
      <c r="CA144" s="342"/>
      <c r="CB144" s="342">
        <f t="shared" si="1871"/>
        <v>1</v>
      </c>
      <c r="CC144" s="342">
        <f t="shared" si="1872"/>
        <v>0</v>
      </c>
      <c r="CD144" s="342">
        <f t="shared" si="1873"/>
        <v>0</v>
      </c>
      <c r="CE144" s="342">
        <f t="shared" si="1874"/>
        <v>0</v>
      </c>
      <c r="CF144" s="342">
        <f t="shared" si="1875"/>
        <v>0</v>
      </c>
      <c r="CG144" s="343"/>
      <c r="CI144"/>
      <c r="CJ144"/>
      <c r="CK144"/>
      <c r="CL144" s="342"/>
      <c r="CM144" s="342"/>
      <c r="CN144" s="342"/>
      <c r="CO144" s="342">
        <f t="shared" si="1876"/>
        <v>1</v>
      </c>
      <c r="CP144" s="342">
        <f t="shared" si="1877"/>
        <v>0</v>
      </c>
      <c r="CQ144" s="342">
        <f t="shared" si="1878"/>
        <v>0</v>
      </c>
      <c r="CR144" s="342">
        <f t="shared" si="1879"/>
        <v>0</v>
      </c>
      <c r="CS144" s="342">
        <f t="shared" si="1880"/>
        <v>0</v>
      </c>
      <c r="CT144" s="343"/>
      <c r="CV144"/>
      <c r="CW144"/>
      <c r="CX144"/>
      <c r="CY144" s="342"/>
      <c r="CZ144" s="342"/>
      <c r="DA144" s="342"/>
      <c r="DB144" s="342">
        <f t="shared" si="1881"/>
        <v>1</v>
      </c>
      <c r="DC144" s="342">
        <f t="shared" si="1882"/>
        <v>0</v>
      </c>
      <c r="DD144" s="342">
        <f t="shared" si="1883"/>
        <v>0</v>
      </c>
      <c r="DE144" s="342">
        <f t="shared" si="1884"/>
        <v>0</v>
      </c>
      <c r="DF144" s="342">
        <f t="shared" si="1885"/>
        <v>0</v>
      </c>
      <c r="DG144" s="343"/>
      <c r="DI144"/>
      <c r="DJ144"/>
      <c r="DK144"/>
      <c r="DL144" s="342"/>
      <c r="DM144" s="342"/>
      <c r="DN144" s="342"/>
      <c r="DO144" s="342">
        <f t="shared" si="1886"/>
        <v>1</v>
      </c>
      <c r="DP144" s="342">
        <f t="shared" si="1887"/>
        <v>0</v>
      </c>
      <c r="DQ144" s="342">
        <f t="shared" si="1888"/>
        <v>0</v>
      </c>
      <c r="DR144" s="342">
        <f t="shared" si="1889"/>
        <v>0</v>
      </c>
      <c r="DS144" s="342">
        <f t="shared" si="1890"/>
        <v>0</v>
      </c>
      <c r="DT144" s="343"/>
      <c r="DV144"/>
      <c r="DW144"/>
      <c r="DX144"/>
      <c r="DY144" s="342"/>
      <c r="DZ144" s="342"/>
      <c r="EA144" s="342"/>
      <c r="EB144" s="342">
        <f t="shared" si="1891"/>
        <v>1</v>
      </c>
      <c r="EC144" s="342">
        <f t="shared" si="1892"/>
        <v>0</v>
      </c>
      <c r="ED144" s="342">
        <f t="shared" si="1893"/>
        <v>0</v>
      </c>
      <c r="EE144" s="342">
        <f t="shared" si="1894"/>
        <v>0</v>
      </c>
      <c r="EF144" s="342">
        <f t="shared" si="1895"/>
        <v>0</v>
      </c>
      <c r="EG144" s="343"/>
      <c r="EI144"/>
      <c r="EJ144"/>
      <c r="EK144"/>
      <c r="EL144" s="342"/>
      <c r="EM144" s="342"/>
      <c r="EN144" s="342"/>
      <c r="EO144" s="342">
        <f t="shared" si="1896"/>
        <v>1</v>
      </c>
      <c r="EP144" s="342">
        <f t="shared" si="1897"/>
        <v>0</v>
      </c>
      <c r="EQ144" s="342">
        <f t="shared" si="1898"/>
        <v>0</v>
      </c>
      <c r="ER144" s="342">
        <f t="shared" si="1899"/>
        <v>0</v>
      </c>
      <c r="ES144" s="342">
        <f t="shared" si="1900"/>
        <v>0</v>
      </c>
      <c r="ET144" s="343"/>
      <c r="EV144"/>
      <c r="EW144"/>
      <c r="EX144"/>
      <c r="EY144" s="342"/>
      <c r="EZ144" s="342"/>
      <c r="FA144" s="342"/>
      <c r="FB144" s="342">
        <f t="shared" si="1901"/>
        <v>1</v>
      </c>
      <c r="FC144" s="342">
        <f t="shared" si="1902"/>
        <v>0</v>
      </c>
      <c r="FD144" s="342">
        <f t="shared" si="1903"/>
        <v>0</v>
      </c>
      <c r="FE144" s="342">
        <f t="shared" si="1904"/>
        <v>0</v>
      </c>
      <c r="FF144" s="342">
        <f t="shared" si="1905"/>
        <v>0</v>
      </c>
      <c r="FG144" s="343"/>
      <c r="FI144"/>
      <c r="FJ144"/>
      <c r="FK144"/>
      <c r="FL144" s="342"/>
      <c r="FM144" s="342"/>
      <c r="FN144" s="342"/>
      <c r="FO144" s="342">
        <f t="shared" si="1906"/>
        <v>1</v>
      </c>
      <c r="FP144" s="342">
        <f t="shared" si="1907"/>
        <v>0</v>
      </c>
      <c r="FQ144" s="342">
        <f t="shared" si="1908"/>
        <v>0</v>
      </c>
      <c r="FR144" s="342">
        <f t="shared" si="1909"/>
        <v>0</v>
      </c>
      <c r="FS144" s="342">
        <f t="shared" si="1910"/>
        <v>0</v>
      </c>
      <c r="FT144" s="343"/>
      <c r="FV144"/>
      <c r="FW144"/>
      <c r="FX144"/>
      <c r="FY144" s="342"/>
      <c r="FZ144" s="342"/>
      <c r="GA144" s="342"/>
      <c r="GB144" s="342">
        <f t="shared" si="1911"/>
        <v>1</v>
      </c>
      <c r="GC144" s="342">
        <f t="shared" si="1912"/>
        <v>0</v>
      </c>
      <c r="GD144" s="342">
        <f t="shared" si="1913"/>
        <v>0</v>
      </c>
      <c r="GE144" s="342">
        <f t="shared" si="1914"/>
        <v>0</v>
      </c>
      <c r="GF144" s="342">
        <f t="shared" si="1915"/>
        <v>0</v>
      </c>
      <c r="GG144" s="343"/>
      <c r="GI144"/>
      <c r="GJ144"/>
      <c r="GK144"/>
      <c r="GL144" s="342"/>
      <c r="GM144" s="342"/>
      <c r="GN144" s="342"/>
      <c r="GO144" s="342">
        <f t="shared" si="1916"/>
        <v>1</v>
      </c>
      <c r="GP144" s="342">
        <f t="shared" si="1917"/>
        <v>0</v>
      </c>
      <c r="GQ144" s="342">
        <f t="shared" si="1918"/>
        <v>0</v>
      </c>
      <c r="GR144" s="342">
        <f t="shared" si="1919"/>
        <v>0</v>
      </c>
      <c r="GS144" s="342">
        <f t="shared" si="1920"/>
        <v>0</v>
      </c>
      <c r="GT144" s="343"/>
      <c r="GV144"/>
      <c r="GW144"/>
      <c r="GX144"/>
      <c r="GY144" s="342"/>
      <c r="GZ144" s="342"/>
      <c r="HA144" s="342"/>
      <c r="HB144" s="342">
        <f t="shared" si="1921"/>
        <v>1</v>
      </c>
      <c r="HC144" s="342">
        <f t="shared" si="1922"/>
        <v>0</v>
      </c>
      <c r="HD144" s="342">
        <f t="shared" si="1923"/>
        <v>0</v>
      </c>
      <c r="HE144" s="342">
        <f t="shared" si="1924"/>
        <v>0</v>
      </c>
      <c r="HF144" s="342">
        <f t="shared" si="1925"/>
        <v>0</v>
      </c>
      <c r="HG144" s="343"/>
      <c r="HI144"/>
      <c r="HJ144"/>
      <c r="HK144"/>
      <c r="HL144" s="342"/>
      <c r="HM144" s="342"/>
      <c r="HN144" s="342"/>
      <c r="HO144" s="342">
        <f t="shared" si="1926"/>
        <v>1</v>
      </c>
      <c r="HP144" s="342">
        <f t="shared" si="1927"/>
        <v>0</v>
      </c>
      <c r="HQ144" s="342">
        <f t="shared" si="1928"/>
        <v>0</v>
      </c>
      <c r="HR144" s="342">
        <f t="shared" si="1929"/>
        <v>0</v>
      </c>
      <c r="HS144" s="342">
        <f t="shared" si="1930"/>
        <v>0</v>
      </c>
      <c r="HT144" s="343"/>
      <c r="HV144"/>
      <c r="HW144"/>
      <c r="HX144"/>
      <c r="HY144" s="342"/>
      <c r="HZ144" s="342"/>
      <c r="IA144" s="342"/>
      <c r="IB144" s="342">
        <f t="shared" si="1931"/>
        <v>1</v>
      </c>
      <c r="IC144" s="342">
        <f t="shared" si="1932"/>
        <v>0</v>
      </c>
      <c r="ID144" s="342">
        <f t="shared" si="1933"/>
        <v>0</v>
      </c>
      <c r="IE144" s="342">
        <f t="shared" si="1934"/>
        <v>0</v>
      </c>
      <c r="IF144" s="342">
        <f t="shared" si="1935"/>
        <v>0</v>
      </c>
      <c r="IG144" s="343"/>
      <c r="II144"/>
      <c r="IJ144"/>
      <c r="IK144"/>
      <c r="IL144" s="342"/>
      <c r="IM144" s="342"/>
      <c r="IN144" s="342"/>
      <c r="IO144" s="342">
        <f t="shared" si="1936"/>
        <v>1</v>
      </c>
      <c r="IP144" s="342">
        <f t="shared" si="1937"/>
        <v>0</v>
      </c>
      <c r="IQ144" s="342">
        <f t="shared" si="1938"/>
        <v>0</v>
      </c>
      <c r="IR144" s="342">
        <f t="shared" si="1939"/>
        <v>0</v>
      </c>
      <c r="IS144" s="342">
        <f t="shared" si="1940"/>
        <v>0</v>
      </c>
      <c r="IT144" s="343"/>
      <c r="IV144"/>
      <c r="IW144"/>
      <c r="IX144"/>
      <c r="IY144" s="342"/>
      <c r="IZ144" s="342"/>
      <c r="JA144" s="342"/>
      <c r="JB144" s="342">
        <f t="shared" si="1941"/>
        <v>1</v>
      </c>
      <c r="JC144" s="342">
        <f t="shared" si="1942"/>
        <v>0</v>
      </c>
      <c r="JD144" s="342">
        <f t="shared" si="1943"/>
        <v>0</v>
      </c>
      <c r="JE144" s="342">
        <f t="shared" si="1944"/>
        <v>0</v>
      </c>
      <c r="JF144" s="342">
        <f t="shared" si="1945"/>
        <v>0</v>
      </c>
      <c r="JG144" s="343"/>
      <c r="JI144"/>
      <c r="JJ144"/>
      <c r="JK144"/>
      <c r="JL144" s="342"/>
      <c r="JM144" s="342"/>
      <c r="JN144" s="342"/>
      <c r="JO144" s="342">
        <f t="shared" si="1946"/>
        <v>1</v>
      </c>
      <c r="JP144" s="342">
        <f t="shared" si="1947"/>
        <v>0</v>
      </c>
      <c r="JQ144" s="342">
        <f t="shared" si="1948"/>
        <v>0</v>
      </c>
      <c r="JR144" s="342">
        <f t="shared" si="1949"/>
        <v>0</v>
      </c>
      <c r="JS144" s="342">
        <f t="shared" si="1950"/>
        <v>0</v>
      </c>
      <c r="JT144" s="343"/>
      <c r="JV144"/>
      <c r="JW144"/>
      <c r="JX144"/>
      <c r="JY144" s="342"/>
      <c r="JZ144" s="342"/>
      <c r="KA144" s="342"/>
      <c r="KB144" s="342">
        <f t="shared" si="1951"/>
        <v>1</v>
      </c>
      <c r="KC144" s="342">
        <f t="shared" si="1952"/>
        <v>0</v>
      </c>
      <c r="KD144" s="342">
        <f t="shared" si="1953"/>
        <v>0</v>
      </c>
      <c r="KE144" s="342">
        <f t="shared" si="1954"/>
        <v>0</v>
      </c>
      <c r="KF144" s="342">
        <f t="shared" si="1955"/>
        <v>0</v>
      </c>
      <c r="KG144" s="343"/>
      <c r="KI144"/>
      <c r="KJ144"/>
      <c r="KK144"/>
      <c r="KL144" s="342"/>
      <c r="KM144" s="342"/>
      <c r="KN144" s="342"/>
      <c r="KO144" s="342">
        <f t="shared" si="1956"/>
        <v>1</v>
      </c>
      <c r="KP144" s="342">
        <f t="shared" si="1957"/>
        <v>0</v>
      </c>
      <c r="KQ144" s="342">
        <f t="shared" si="1958"/>
        <v>0</v>
      </c>
      <c r="KR144" s="342">
        <f t="shared" si="1959"/>
        <v>0</v>
      </c>
      <c r="KS144" s="342">
        <f t="shared" si="1960"/>
        <v>0</v>
      </c>
      <c r="KT144" s="343"/>
      <c r="KV144"/>
      <c r="KW144"/>
      <c r="KX144"/>
      <c r="KY144" s="342"/>
      <c r="KZ144" s="342"/>
      <c r="LA144" s="342"/>
      <c r="LB144" s="342">
        <f t="shared" si="1961"/>
        <v>1</v>
      </c>
      <c r="LC144" s="342">
        <f t="shared" si="1962"/>
        <v>0</v>
      </c>
      <c r="LD144" s="342">
        <f t="shared" si="1963"/>
        <v>0</v>
      </c>
      <c r="LE144" s="342">
        <f t="shared" si="1964"/>
        <v>0</v>
      </c>
      <c r="LF144" s="342">
        <f t="shared" si="1965"/>
        <v>0</v>
      </c>
      <c r="LG144" s="343"/>
      <c r="LI144"/>
      <c r="LJ144"/>
      <c r="LK144"/>
      <c r="LL144" s="342"/>
      <c r="LM144" s="342"/>
      <c r="LN144" s="342"/>
      <c r="LO144" s="342">
        <f t="shared" si="1966"/>
        <v>1</v>
      </c>
      <c r="LP144" s="342">
        <f t="shared" si="1967"/>
        <v>0</v>
      </c>
      <c r="LQ144" s="342">
        <f t="shared" si="1968"/>
        <v>0</v>
      </c>
      <c r="LR144" s="342">
        <f t="shared" si="1969"/>
        <v>0</v>
      </c>
      <c r="LS144" s="342">
        <f t="shared" si="1970"/>
        <v>0</v>
      </c>
      <c r="LT144" s="343"/>
      <c r="LV144"/>
      <c r="LW144"/>
      <c r="LX144"/>
      <c r="LY144" s="342"/>
      <c r="LZ144" s="342"/>
      <c r="MA144" s="342"/>
      <c r="MB144" s="342">
        <f t="shared" si="1971"/>
        <v>1</v>
      </c>
      <c r="MC144" s="342">
        <f t="shared" si="1972"/>
        <v>0</v>
      </c>
      <c r="MD144" s="342">
        <f t="shared" si="1973"/>
        <v>0</v>
      </c>
      <c r="ME144" s="342">
        <f t="shared" si="1974"/>
        <v>0</v>
      </c>
      <c r="MF144" s="342">
        <f t="shared" si="1975"/>
        <v>0</v>
      </c>
      <c r="MG144" s="343"/>
    </row>
    <row r="145" spans="9:345">
      <c r="I145"/>
      <c r="J145"/>
      <c r="K145"/>
      <c r="L145" s="342"/>
      <c r="M145" s="342"/>
      <c r="N145" s="342"/>
      <c r="O145" s="342"/>
      <c r="P145" s="342"/>
      <c r="Q145" s="342"/>
      <c r="R145" s="342"/>
      <c r="S145" s="342"/>
      <c r="T145" s="343"/>
      <c r="V145"/>
      <c r="W145"/>
      <c r="X145"/>
      <c r="Y145" s="342"/>
      <c r="Z145" s="342"/>
      <c r="AA145" s="342"/>
      <c r="AB145" s="342"/>
      <c r="AC145" s="342"/>
      <c r="AD145" s="342"/>
      <c r="AE145" s="342"/>
      <c r="AF145" s="342"/>
      <c r="AG145" s="343"/>
      <c r="AI145"/>
      <c r="AJ145"/>
      <c r="AK145"/>
      <c r="AL145" s="342"/>
      <c r="AM145" s="342"/>
      <c r="AN145" s="342"/>
      <c r="AO145" s="342"/>
      <c r="AP145" s="342"/>
      <c r="AQ145" s="342"/>
      <c r="AR145" s="342"/>
      <c r="AS145" s="342"/>
      <c r="AT145" s="343"/>
      <c r="AV145"/>
      <c r="AW145"/>
      <c r="AX145"/>
      <c r="AY145" s="342"/>
      <c r="AZ145" s="342"/>
      <c r="BA145" s="342"/>
      <c r="BB145" s="342"/>
      <c r="BC145" s="342"/>
      <c r="BD145" s="342"/>
      <c r="BE145" s="342"/>
      <c r="BF145" s="342"/>
      <c r="BG145" s="343"/>
      <c r="BI145"/>
      <c r="BJ145"/>
      <c r="BK145"/>
      <c r="BL145" s="342"/>
      <c r="BM145" s="342"/>
      <c r="BN145" s="342"/>
      <c r="BO145" s="342"/>
      <c r="BP145" s="342"/>
      <c r="BQ145" s="342"/>
      <c r="BR145" s="342"/>
      <c r="BS145" s="342"/>
      <c r="BT145" s="343"/>
      <c r="BV145"/>
      <c r="BW145"/>
      <c r="BX145"/>
      <c r="BY145" s="342"/>
      <c r="BZ145" s="342"/>
      <c r="CA145" s="342"/>
      <c r="CB145" s="342"/>
      <c r="CC145" s="342"/>
      <c r="CD145" s="342"/>
      <c r="CE145" s="342"/>
      <c r="CF145" s="342"/>
      <c r="CG145" s="343"/>
      <c r="CI145"/>
      <c r="CJ145"/>
      <c r="CK145"/>
      <c r="CL145" s="342"/>
      <c r="CM145" s="342"/>
      <c r="CN145" s="342"/>
      <c r="CO145" s="342"/>
      <c r="CP145" s="342"/>
      <c r="CQ145" s="342"/>
      <c r="CR145" s="342"/>
      <c r="CS145" s="342"/>
      <c r="CT145" s="343"/>
      <c r="CV145"/>
      <c r="CW145"/>
      <c r="CX145"/>
      <c r="CY145" s="342"/>
      <c r="CZ145" s="342"/>
      <c r="DA145" s="342"/>
      <c r="DB145" s="342"/>
      <c r="DC145" s="342"/>
      <c r="DD145" s="342"/>
      <c r="DE145" s="342"/>
      <c r="DF145" s="342"/>
      <c r="DG145" s="343"/>
      <c r="DI145"/>
      <c r="DJ145"/>
      <c r="DK145"/>
      <c r="DL145" s="342"/>
      <c r="DM145" s="342"/>
      <c r="DN145" s="342"/>
      <c r="DO145" s="342"/>
      <c r="DP145" s="342"/>
      <c r="DQ145" s="342"/>
      <c r="DR145" s="342"/>
      <c r="DS145" s="342"/>
      <c r="DT145" s="343"/>
      <c r="DV145"/>
      <c r="DW145"/>
      <c r="DX145"/>
      <c r="DY145" s="342"/>
      <c r="DZ145" s="342"/>
      <c r="EA145" s="342"/>
      <c r="EB145" s="342"/>
      <c r="EC145" s="342"/>
      <c r="ED145" s="342"/>
      <c r="EE145" s="342"/>
      <c r="EF145" s="342"/>
      <c r="EG145" s="343"/>
      <c r="EI145"/>
      <c r="EJ145"/>
      <c r="EK145"/>
      <c r="EL145" s="342"/>
      <c r="EM145" s="342"/>
      <c r="EN145" s="342"/>
      <c r="EO145" s="342"/>
      <c r="EP145" s="342"/>
      <c r="EQ145" s="342"/>
      <c r="ER145" s="342"/>
      <c r="ES145" s="342"/>
      <c r="ET145" s="343"/>
      <c r="EV145"/>
      <c r="EW145"/>
      <c r="EX145"/>
      <c r="EY145" s="342"/>
      <c r="EZ145" s="342"/>
      <c r="FA145" s="342"/>
      <c r="FB145" s="342"/>
      <c r="FC145" s="342"/>
      <c r="FD145" s="342"/>
      <c r="FE145" s="342"/>
      <c r="FF145" s="342"/>
      <c r="FG145" s="343"/>
      <c r="FI145"/>
      <c r="FJ145"/>
      <c r="FK145"/>
      <c r="FL145" s="342"/>
      <c r="FM145" s="342"/>
      <c r="FN145" s="342"/>
      <c r="FO145" s="342"/>
      <c r="FP145" s="342"/>
      <c r="FQ145" s="342"/>
      <c r="FR145" s="342"/>
      <c r="FS145" s="342"/>
      <c r="FT145" s="343"/>
      <c r="FV145"/>
      <c r="FW145"/>
      <c r="FX145"/>
      <c r="FY145" s="342"/>
      <c r="FZ145" s="342"/>
      <c r="GA145" s="342"/>
      <c r="GB145" s="342"/>
      <c r="GC145" s="342"/>
      <c r="GD145" s="342"/>
      <c r="GE145" s="342"/>
      <c r="GF145" s="342"/>
      <c r="GG145" s="343"/>
      <c r="GI145"/>
      <c r="GJ145"/>
      <c r="GK145"/>
      <c r="GL145" s="342"/>
      <c r="GM145" s="342"/>
      <c r="GN145" s="342"/>
      <c r="GO145" s="342"/>
      <c r="GP145" s="342"/>
      <c r="GQ145" s="342"/>
      <c r="GR145" s="342"/>
      <c r="GS145" s="342"/>
      <c r="GT145" s="343"/>
      <c r="GV145"/>
      <c r="GW145"/>
      <c r="GX145"/>
      <c r="GY145" s="342"/>
      <c r="GZ145" s="342"/>
      <c r="HA145" s="342"/>
      <c r="HB145" s="342"/>
      <c r="HC145" s="342"/>
      <c r="HD145" s="342"/>
      <c r="HE145" s="342"/>
      <c r="HF145" s="342"/>
      <c r="HG145" s="343"/>
      <c r="HI145"/>
      <c r="HJ145"/>
      <c r="HK145"/>
      <c r="HL145" s="342"/>
      <c r="HM145" s="342"/>
      <c r="HN145" s="342"/>
      <c r="HO145" s="342"/>
      <c r="HP145" s="342"/>
      <c r="HQ145" s="342"/>
      <c r="HR145" s="342"/>
      <c r="HS145" s="342"/>
      <c r="HT145" s="343"/>
      <c r="HV145"/>
      <c r="HW145"/>
      <c r="HX145"/>
      <c r="HY145" s="342"/>
      <c r="HZ145" s="342"/>
      <c r="IA145" s="342"/>
      <c r="IB145" s="342"/>
      <c r="IC145" s="342"/>
      <c r="ID145" s="342"/>
      <c r="IE145" s="342"/>
      <c r="IF145" s="342"/>
      <c r="IG145" s="343"/>
      <c r="II145"/>
      <c r="IJ145"/>
      <c r="IK145"/>
      <c r="IL145" s="342"/>
      <c r="IM145" s="342"/>
      <c r="IN145" s="342"/>
      <c r="IO145" s="342"/>
      <c r="IP145" s="342"/>
      <c r="IQ145" s="342"/>
      <c r="IR145" s="342"/>
      <c r="IS145" s="342"/>
      <c r="IT145" s="343"/>
      <c r="IV145"/>
      <c r="IW145"/>
      <c r="IX145"/>
      <c r="IY145" s="342"/>
      <c r="IZ145" s="342"/>
      <c r="JA145" s="342"/>
      <c r="JB145" s="342"/>
      <c r="JC145" s="342"/>
      <c r="JD145" s="342"/>
      <c r="JE145" s="342"/>
      <c r="JF145" s="342"/>
      <c r="JG145" s="343"/>
      <c r="JI145"/>
      <c r="JJ145"/>
      <c r="JK145"/>
      <c r="JL145" s="342"/>
      <c r="JM145" s="342"/>
      <c r="JN145" s="342"/>
      <c r="JO145" s="342"/>
      <c r="JP145" s="342"/>
      <c r="JQ145" s="342"/>
      <c r="JR145" s="342"/>
      <c r="JS145" s="342"/>
      <c r="JT145" s="343"/>
      <c r="JV145"/>
      <c r="JW145"/>
      <c r="JX145"/>
      <c r="JY145" s="342"/>
      <c r="JZ145" s="342"/>
      <c r="KA145" s="342"/>
      <c r="KB145" s="342"/>
      <c r="KC145" s="342"/>
      <c r="KD145" s="342"/>
      <c r="KE145" s="342"/>
      <c r="KF145" s="342"/>
      <c r="KG145" s="343"/>
      <c r="KI145"/>
      <c r="KJ145"/>
      <c r="KK145"/>
      <c r="KL145" s="342"/>
      <c r="KM145" s="342"/>
      <c r="KN145" s="342"/>
      <c r="KO145" s="342"/>
      <c r="KP145" s="342"/>
      <c r="KQ145" s="342"/>
      <c r="KR145" s="342"/>
      <c r="KS145" s="342"/>
      <c r="KT145" s="343"/>
      <c r="KV145"/>
      <c r="KW145"/>
      <c r="KX145"/>
      <c r="KY145" s="342"/>
      <c r="KZ145" s="342"/>
      <c r="LA145" s="342"/>
      <c r="LB145" s="342"/>
      <c r="LC145" s="342"/>
      <c r="LD145" s="342"/>
      <c r="LE145" s="342"/>
      <c r="LF145" s="342"/>
      <c r="LG145" s="343"/>
      <c r="LI145"/>
      <c r="LJ145"/>
      <c r="LK145"/>
      <c r="LL145" s="342"/>
      <c r="LM145" s="342"/>
      <c r="LN145" s="342"/>
      <c r="LO145" s="342"/>
      <c r="LP145" s="342"/>
      <c r="LQ145" s="342"/>
      <c r="LR145" s="342"/>
      <c r="LS145" s="342"/>
      <c r="LT145" s="343"/>
      <c r="LV145"/>
      <c r="LW145"/>
      <c r="LX145"/>
      <c r="LY145" s="342"/>
      <c r="LZ145" s="342"/>
      <c r="MA145" s="342"/>
      <c r="MB145" s="342"/>
      <c r="MC145" s="342"/>
      <c r="MD145" s="342"/>
      <c r="ME145" s="342"/>
      <c r="MF145" s="342"/>
      <c r="MG145" s="343"/>
    </row>
    <row r="146" spans="9:345">
      <c r="I146"/>
      <c r="J146"/>
      <c r="K146"/>
      <c r="L146" s="342"/>
      <c r="M146" s="342"/>
      <c r="N146" s="342"/>
      <c r="O146" s="342">
        <f>(T121&lt;&gt;2)+($B$143&amp;$D$143&lt;&gt;I121&amp;K121)*($B$144&amp;$D$144&lt;&gt;I121&amp;K121)*($D$143&amp;$B$143&lt;&gt;I121&amp;K121)*($D$144&amp;$B$144&lt;&gt;I121&amp;K121)</f>
        <v>1</v>
      </c>
      <c r="P146" s="342">
        <f>IFERROR(VLOOKUP(I121,$B$143:$F$144,5,0),0)</f>
        <v>0</v>
      </c>
      <c r="Q146" s="342">
        <f>IFERROR(VLOOKUP(K121,$B$143:$F$144,5,0),0)</f>
        <v>0</v>
      </c>
      <c r="R146" s="342">
        <f>IFERROR(VLOOKUP(I121,$D$121:$G$122,4,0),0)</f>
        <v>0</v>
      </c>
      <c r="S146" s="342">
        <f>IFERROR(VLOOKUP(K121,$D$121:$G$122,4,0),0)</f>
        <v>0</v>
      </c>
      <c r="T146" s="343"/>
      <c r="V146"/>
      <c r="W146"/>
      <c r="X146"/>
      <c r="Y146" s="342"/>
      <c r="Z146" s="342"/>
      <c r="AA146" s="342"/>
      <c r="AB146" s="342">
        <f>(AG121&lt;&gt;2)+($B$143&amp;$D$143&lt;&gt;V121&amp;X121)*($B$144&amp;$D$144&lt;&gt;V121&amp;X121)*($D$143&amp;$B$143&lt;&gt;V121&amp;X121)*($D$144&amp;$B$144&lt;&gt;V121&amp;X121)</f>
        <v>1</v>
      </c>
      <c r="AC146" s="342">
        <f>IFERROR(VLOOKUP(V121,$B$143:$F$144,5,0),0)</f>
        <v>0</v>
      </c>
      <c r="AD146" s="342">
        <f>IFERROR(VLOOKUP(X121,$B$143:$F$144,5,0),0)</f>
        <v>0</v>
      </c>
      <c r="AE146" s="342">
        <f>IFERROR(VLOOKUP(V121,$D$121:$G$122,4,0),0)</f>
        <v>0</v>
      </c>
      <c r="AF146" s="342">
        <f>IFERROR(VLOOKUP(X121,$D$121:$G$122,4,0),0)</f>
        <v>0</v>
      </c>
      <c r="AG146" s="343"/>
      <c r="AI146"/>
      <c r="AJ146"/>
      <c r="AK146"/>
      <c r="AL146" s="342"/>
      <c r="AM146" s="342"/>
      <c r="AN146" s="342"/>
      <c r="AO146" s="342">
        <f>(AT121&lt;&gt;2)+($B$143&amp;$D$143&lt;&gt;AI121&amp;AK121)*($B$144&amp;$D$144&lt;&gt;AI121&amp;AK121)*($D$143&amp;$B$143&lt;&gt;AI121&amp;AK121)*($D$144&amp;$B$144&lt;&gt;AI121&amp;AK121)</f>
        <v>1</v>
      </c>
      <c r="AP146" s="342">
        <f>IFERROR(VLOOKUP(AI121,$B$143:$F$144,5,0),0)</f>
        <v>0</v>
      </c>
      <c r="AQ146" s="342">
        <f>IFERROR(VLOOKUP(AK121,$B$143:$F$144,5,0),0)</f>
        <v>0</v>
      </c>
      <c r="AR146" s="342">
        <f>IFERROR(VLOOKUP(AI121,$D$121:$G$122,4,0),0)</f>
        <v>0</v>
      </c>
      <c r="AS146" s="342">
        <f>IFERROR(VLOOKUP(AK121,$D$121:$G$122,4,0),0)</f>
        <v>0</v>
      </c>
      <c r="AT146" s="343"/>
      <c r="AV146"/>
      <c r="AW146"/>
      <c r="AX146"/>
      <c r="AY146" s="342"/>
      <c r="AZ146" s="342"/>
      <c r="BA146" s="342"/>
      <c r="BB146" s="342">
        <f>(BG121&lt;&gt;2)+($B$143&amp;$D$143&lt;&gt;AV121&amp;AX121)*($B$144&amp;$D$144&lt;&gt;AV121&amp;AX121)*($D$143&amp;$B$143&lt;&gt;AV121&amp;AX121)*($D$144&amp;$B$144&lt;&gt;AV121&amp;AX121)</f>
        <v>1</v>
      </c>
      <c r="BC146" s="342">
        <f>IFERROR(VLOOKUP(AV121,$B$143:$F$144,5,0),0)</f>
        <v>0</v>
      </c>
      <c r="BD146" s="342">
        <f>IFERROR(VLOOKUP(AX121,$B$143:$F$144,5,0),0)</f>
        <v>0</v>
      </c>
      <c r="BE146" s="342">
        <f>IFERROR(VLOOKUP(AV121,$D$121:$G$122,4,0),0)</f>
        <v>0</v>
      </c>
      <c r="BF146" s="342">
        <f>IFERROR(VLOOKUP(AX121,$D$121:$G$122,4,0),0)</f>
        <v>0</v>
      </c>
      <c r="BG146" s="343"/>
      <c r="BI146"/>
      <c r="BJ146"/>
      <c r="BK146"/>
      <c r="BL146" s="342"/>
      <c r="BM146" s="342"/>
      <c r="BN146" s="342"/>
      <c r="BO146" s="342">
        <f>(BT121&lt;&gt;2)+($B$143&amp;$D$143&lt;&gt;BI121&amp;BK121)*($B$144&amp;$D$144&lt;&gt;BI121&amp;BK121)*($D$143&amp;$B$143&lt;&gt;BI121&amp;BK121)*($D$144&amp;$B$144&lt;&gt;BI121&amp;BK121)</f>
        <v>1</v>
      </c>
      <c r="BP146" s="342">
        <f>IFERROR(VLOOKUP(BI121,$B$143:$F$144,5,0),0)</f>
        <v>0</v>
      </c>
      <c r="BQ146" s="342">
        <f>IFERROR(VLOOKUP(BK121,$B$143:$F$144,5,0),0)</f>
        <v>0</v>
      </c>
      <c r="BR146" s="342">
        <f>IFERROR(VLOOKUP(BI121,$D$121:$G$122,4,0),0)</f>
        <v>0</v>
      </c>
      <c r="BS146" s="342">
        <f>IFERROR(VLOOKUP(BK121,$D$121:$G$122,4,0),0)</f>
        <v>0</v>
      </c>
      <c r="BT146" s="343"/>
      <c r="BV146"/>
      <c r="BW146"/>
      <c r="BX146"/>
      <c r="BY146" s="342"/>
      <c r="BZ146" s="342"/>
      <c r="CA146" s="342"/>
      <c r="CB146" s="342">
        <f>(CG121&lt;&gt;2)+($B$143&amp;$D$143&lt;&gt;BV121&amp;BX121)*($B$144&amp;$D$144&lt;&gt;BV121&amp;BX121)*($D$143&amp;$B$143&lt;&gt;BV121&amp;BX121)*($D$144&amp;$B$144&lt;&gt;BV121&amp;BX121)</f>
        <v>1</v>
      </c>
      <c r="CC146" s="342">
        <f>IFERROR(VLOOKUP(BV121,$B$143:$F$144,5,0),0)</f>
        <v>0</v>
      </c>
      <c r="CD146" s="342">
        <f>IFERROR(VLOOKUP(BX121,$B$143:$F$144,5,0),0)</f>
        <v>0</v>
      </c>
      <c r="CE146" s="342">
        <f>IFERROR(VLOOKUP(BV121,$D$121:$G$122,4,0),0)</f>
        <v>0</v>
      </c>
      <c r="CF146" s="342">
        <f>IFERROR(VLOOKUP(BX121,$D$121:$G$122,4,0),0)</f>
        <v>0</v>
      </c>
      <c r="CG146" s="343"/>
      <c r="CI146"/>
      <c r="CJ146"/>
      <c r="CK146"/>
      <c r="CL146" s="342"/>
      <c r="CM146" s="342"/>
      <c r="CN146" s="342"/>
      <c r="CO146" s="342">
        <f>(CT121&lt;&gt;2)+($B$143&amp;$D$143&lt;&gt;CI121&amp;CK121)*($B$144&amp;$D$144&lt;&gt;CI121&amp;CK121)*($D$143&amp;$B$143&lt;&gt;CI121&amp;CK121)*($D$144&amp;$B$144&lt;&gt;CI121&amp;CK121)</f>
        <v>1</v>
      </c>
      <c r="CP146" s="342">
        <f>IFERROR(VLOOKUP(CI121,$B$143:$F$144,5,0),0)</f>
        <v>0</v>
      </c>
      <c r="CQ146" s="342">
        <f>IFERROR(VLOOKUP(CK121,$B$143:$F$144,5,0),0)</f>
        <v>0</v>
      </c>
      <c r="CR146" s="342">
        <f>IFERROR(VLOOKUP(CI121,$D$121:$G$122,4,0),0)</f>
        <v>0</v>
      </c>
      <c r="CS146" s="342">
        <f>IFERROR(VLOOKUP(CK121,$D$121:$G$122,4,0),0)</f>
        <v>0</v>
      </c>
      <c r="CT146" s="343"/>
      <c r="CV146"/>
      <c r="CW146"/>
      <c r="CX146"/>
      <c r="CY146" s="342"/>
      <c r="CZ146" s="342"/>
      <c r="DA146" s="342"/>
      <c r="DB146" s="342">
        <f>(DG121&lt;&gt;2)+($B$143&amp;$D$143&lt;&gt;CV121&amp;CX121)*($B$144&amp;$D$144&lt;&gt;CV121&amp;CX121)*($D$143&amp;$B$143&lt;&gt;CV121&amp;CX121)*($D$144&amp;$B$144&lt;&gt;CV121&amp;CX121)</f>
        <v>1</v>
      </c>
      <c r="DC146" s="342">
        <f>IFERROR(VLOOKUP(CV121,$B$143:$F$144,5,0),0)</f>
        <v>0</v>
      </c>
      <c r="DD146" s="342">
        <f>IFERROR(VLOOKUP(CX121,$B$143:$F$144,5,0),0)</f>
        <v>0</v>
      </c>
      <c r="DE146" s="342">
        <f>IFERROR(VLOOKUP(CV121,$D$121:$G$122,4,0),0)</f>
        <v>0</v>
      </c>
      <c r="DF146" s="342">
        <f>IFERROR(VLOOKUP(CX121,$D$121:$G$122,4,0),0)</f>
        <v>0</v>
      </c>
      <c r="DG146" s="343"/>
      <c r="DI146"/>
      <c r="DJ146"/>
      <c r="DK146"/>
      <c r="DL146" s="342"/>
      <c r="DM146" s="342"/>
      <c r="DN146" s="342"/>
      <c r="DO146" s="342">
        <f>(DT121&lt;&gt;2)+($B$143&amp;$D$143&lt;&gt;DI121&amp;DK121)*($B$144&amp;$D$144&lt;&gt;DI121&amp;DK121)*($D$143&amp;$B$143&lt;&gt;DI121&amp;DK121)*($D$144&amp;$B$144&lt;&gt;DI121&amp;DK121)</f>
        <v>1</v>
      </c>
      <c r="DP146" s="342">
        <f>IFERROR(VLOOKUP(DI121,$B$143:$F$144,5,0),0)</f>
        <v>0</v>
      </c>
      <c r="DQ146" s="342">
        <f>IFERROR(VLOOKUP(DK121,$B$143:$F$144,5,0),0)</f>
        <v>0</v>
      </c>
      <c r="DR146" s="342">
        <f>IFERROR(VLOOKUP(DI121,$D$121:$G$122,4,0),0)</f>
        <v>0</v>
      </c>
      <c r="DS146" s="342">
        <f>IFERROR(VLOOKUP(DK121,$D$121:$G$122,4,0),0)</f>
        <v>0</v>
      </c>
      <c r="DT146" s="343"/>
      <c r="DV146"/>
      <c r="DW146"/>
      <c r="DX146"/>
      <c r="DY146" s="342"/>
      <c r="DZ146" s="342"/>
      <c r="EA146" s="342"/>
      <c r="EB146" s="342">
        <f>(EG121&lt;&gt;2)+($B$143&amp;$D$143&lt;&gt;DV121&amp;DX121)*($B$144&amp;$D$144&lt;&gt;DV121&amp;DX121)*($D$143&amp;$B$143&lt;&gt;DV121&amp;DX121)*($D$144&amp;$B$144&lt;&gt;DV121&amp;DX121)</f>
        <v>1</v>
      </c>
      <c r="EC146" s="342">
        <f>IFERROR(VLOOKUP(DV121,$B$143:$F$144,5,0),0)</f>
        <v>0</v>
      </c>
      <c r="ED146" s="342">
        <f>IFERROR(VLOOKUP(DX121,$B$143:$F$144,5,0),0)</f>
        <v>0</v>
      </c>
      <c r="EE146" s="342">
        <f>IFERROR(VLOOKUP(DV121,$D$121:$G$122,4,0),0)</f>
        <v>0</v>
      </c>
      <c r="EF146" s="342">
        <f>IFERROR(VLOOKUP(DX121,$D$121:$G$122,4,0),0)</f>
        <v>0</v>
      </c>
      <c r="EG146" s="343"/>
      <c r="EI146"/>
      <c r="EJ146"/>
      <c r="EK146"/>
      <c r="EL146" s="342"/>
      <c r="EM146" s="342"/>
      <c r="EN146" s="342"/>
      <c r="EO146" s="342">
        <f>(ET121&lt;&gt;2)+($B$143&amp;$D$143&lt;&gt;EI121&amp;EK121)*($B$144&amp;$D$144&lt;&gt;EI121&amp;EK121)*($D$143&amp;$B$143&lt;&gt;EI121&amp;EK121)*($D$144&amp;$B$144&lt;&gt;EI121&amp;EK121)</f>
        <v>1</v>
      </c>
      <c r="EP146" s="342">
        <f>IFERROR(VLOOKUP(EI121,$B$143:$F$144,5,0),0)</f>
        <v>0</v>
      </c>
      <c r="EQ146" s="342">
        <f>IFERROR(VLOOKUP(EK121,$B$143:$F$144,5,0),0)</f>
        <v>0</v>
      </c>
      <c r="ER146" s="342">
        <f>IFERROR(VLOOKUP(EI121,$D$121:$G$122,4,0),0)</f>
        <v>0</v>
      </c>
      <c r="ES146" s="342">
        <f>IFERROR(VLOOKUP(EK121,$D$121:$G$122,4,0),0)</f>
        <v>0</v>
      </c>
      <c r="ET146" s="343"/>
      <c r="EV146"/>
      <c r="EW146"/>
      <c r="EX146"/>
      <c r="EY146" s="342"/>
      <c r="EZ146" s="342"/>
      <c r="FA146" s="342"/>
      <c r="FB146" s="342">
        <f>(FG121&lt;&gt;2)+($B$143&amp;$D$143&lt;&gt;EV121&amp;EX121)*($B$144&amp;$D$144&lt;&gt;EV121&amp;EX121)*($D$143&amp;$B$143&lt;&gt;EV121&amp;EX121)*($D$144&amp;$B$144&lt;&gt;EV121&amp;EX121)</f>
        <v>1</v>
      </c>
      <c r="FC146" s="342">
        <f>IFERROR(VLOOKUP(EV121,$B$143:$F$144,5,0),0)</f>
        <v>0</v>
      </c>
      <c r="FD146" s="342">
        <f>IFERROR(VLOOKUP(EX121,$B$143:$F$144,5,0),0)</f>
        <v>0</v>
      </c>
      <c r="FE146" s="342">
        <f>IFERROR(VLOOKUP(EV121,$D$121:$G$122,4,0),0)</f>
        <v>0</v>
      </c>
      <c r="FF146" s="342">
        <f>IFERROR(VLOOKUP(EX121,$D$121:$G$122,4,0),0)</f>
        <v>0</v>
      </c>
      <c r="FG146" s="343"/>
      <c r="FI146"/>
      <c r="FJ146"/>
      <c r="FK146"/>
      <c r="FL146" s="342"/>
      <c r="FM146" s="342"/>
      <c r="FN146" s="342"/>
      <c r="FO146" s="342">
        <f>(FT121&lt;&gt;2)+($B$143&amp;$D$143&lt;&gt;FI121&amp;FK121)*($B$144&amp;$D$144&lt;&gt;FI121&amp;FK121)*($D$143&amp;$B$143&lt;&gt;FI121&amp;FK121)*($D$144&amp;$B$144&lt;&gt;FI121&amp;FK121)</f>
        <v>1</v>
      </c>
      <c r="FP146" s="342">
        <f>IFERROR(VLOOKUP(FI121,$B$143:$F$144,5,0),0)</f>
        <v>0</v>
      </c>
      <c r="FQ146" s="342">
        <f>IFERROR(VLOOKUP(FK121,$B$143:$F$144,5,0),0)</f>
        <v>0</v>
      </c>
      <c r="FR146" s="342">
        <f>IFERROR(VLOOKUP(FI121,$D$121:$G$122,4,0),0)</f>
        <v>0</v>
      </c>
      <c r="FS146" s="342">
        <f>IFERROR(VLOOKUP(FK121,$D$121:$G$122,4,0),0)</f>
        <v>0</v>
      </c>
      <c r="FT146" s="343"/>
      <c r="FV146"/>
      <c r="FW146"/>
      <c r="FX146"/>
      <c r="FY146" s="342"/>
      <c r="FZ146" s="342"/>
      <c r="GA146" s="342"/>
      <c r="GB146" s="342">
        <f>(GG121&lt;&gt;2)+($B$143&amp;$D$143&lt;&gt;FV121&amp;FX121)*($B$144&amp;$D$144&lt;&gt;FV121&amp;FX121)*($D$143&amp;$B$143&lt;&gt;FV121&amp;FX121)*($D$144&amp;$B$144&lt;&gt;FV121&amp;FX121)</f>
        <v>1</v>
      </c>
      <c r="GC146" s="342">
        <f>IFERROR(VLOOKUP(FV121,$B$143:$F$144,5,0),0)</f>
        <v>0</v>
      </c>
      <c r="GD146" s="342">
        <f>IFERROR(VLOOKUP(FX121,$B$143:$F$144,5,0),0)</f>
        <v>0</v>
      </c>
      <c r="GE146" s="342">
        <f>IFERROR(VLOOKUP(FV121,$D$121:$G$122,4,0),0)</f>
        <v>0</v>
      </c>
      <c r="GF146" s="342">
        <f>IFERROR(VLOOKUP(FX121,$D$121:$G$122,4,0),0)</f>
        <v>0</v>
      </c>
      <c r="GG146" s="343"/>
      <c r="GI146"/>
      <c r="GJ146"/>
      <c r="GK146"/>
      <c r="GL146" s="342"/>
      <c r="GM146" s="342"/>
      <c r="GN146" s="342"/>
      <c r="GO146" s="342">
        <f>(GT121&lt;&gt;2)+($B$143&amp;$D$143&lt;&gt;GI121&amp;GK121)*($B$144&amp;$D$144&lt;&gt;GI121&amp;GK121)*($D$143&amp;$B$143&lt;&gt;GI121&amp;GK121)*($D$144&amp;$B$144&lt;&gt;GI121&amp;GK121)</f>
        <v>1</v>
      </c>
      <c r="GP146" s="342">
        <f>IFERROR(VLOOKUP(GI121,$B$143:$F$144,5,0),0)</f>
        <v>0</v>
      </c>
      <c r="GQ146" s="342">
        <f>IFERROR(VLOOKUP(GK121,$B$143:$F$144,5,0),0)</f>
        <v>0</v>
      </c>
      <c r="GR146" s="342">
        <f>IFERROR(VLOOKUP(GI121,$D$121:$G$122,4,0),0)</f>
        <v>0</v>
      </c>
      <c r="GS146" s="342">
        <f>IFERROR(VLOOKUP(GK121,$D$121:$G$122,4,0),0)</f>
        <v>0</v>
      </c>
      <c r="GT146" s="343"/>
      <c r="GV146"/>
      <c r="GW146"/>
      <c r="GX146"/>
      <c r="GY146" s="342"/>
      <c r="GZ146" s="342"/>
      <c r="HA146" s="342"/>
      <c r="HB146" s="342">
        <f>(HG121&lt;&gt;2)+($B$143&amp;$D$143&lt;&gt;GV121&amp;GX121)*($B$144&amp;$D$144&lt;&gt;GV121&amp;GX121)*($D$143&amp;$B$143&lt;&gt;GV121&amp;GX121)*($D$144&amp;$B$144&lt;&gt;GV121&amp;GX121)</f>
        <v>1</v>
      </c>
      <c r="HC146" s="342">
        <f>IFERROR(VLOOKUP(GV121,$B$143:$F$144,5,0),0)</f>
        <v>0</v>
      </c>
      <c r="HD146" s="342">
        <f>IFERROR(VLOOKUP(GX121,$B$143:$F$144,5,0),0)</f>
        <v>0</v>
      </c>
      <c r="HE146" s="342">
        <f>IFERROR(VLOOKUP(GV121,$D$121:$G$122,4,0),0)</f>
        <v>0</v>
      </c>
      <c r="HF146" s="342">
        <f>IFERROR(VLOOKUP(GX121,$D$121:$G$122,4,0),0)</f>
        <v>0</v>
      </c>
      <c r="HG146" s="343"/>
      <c r="HI146"/>
      <c r="HJ146"/>
      <c r="HK146"/>
      <c r="HL146" s="342"/>
      <c r="HM146" s="342"/>
      <c r="HN146" s="342"/>
      <c r="HO146" s="342">
        <f>(HT121&lt;&gt;2)+($B$143&amp;$D$143&lt;&gt;HI121&amp;HK121)*($B$144&amp;$D$144&lt;&gt;HI121&amp;HK121)*($D$143&amp;$B$143&lt;&gt;HI121&amp;HK121)*($D$144&amp;$B$144&lt;&gt;HI121&amp;HK121)</f>
        <v>1</v>
      </c>
      <c r="HP146" s="342">
        <f>IFERROR(VLOOKUP(HI121,$B$143:$F$144,5,0),0)</f>
        <v>0</v>
      </c>
      <c r="HQ146" s="342">
        <f>IFERROR(VLOOKUP(HK121,$B$143:$F$144,5,0),0)</f>
        <v>0</v>
      </c>
      <c r="HR146" s="342">
        <f>IFERROR(VLOOKUP(HI121,$D$121:$G$122,4,0),0)</f>
        <v>0</v>
      </c>
      <c r="HS146" s="342">
        <f>IFERROR(VLOOKUP(HK121,$D$121:$G$122,4,0),0)</f>
        <v>0</v>
      </c>
      <c r="HT146" s="343"/>
      <c r="HV146"/>
      <c r="HW146"/>
      <c r="HX146"/>
      <c r="HY146" s="342"/>
      <c r="HZ146" s="342"/>
      <c r="IA146" s="342"/>
      <c r="IB146" s="342">
        <f>(IG121&lt;&gt;2)+($B$143&amp;$D$143&lt;&gt;HV121&amp;HX121)*($B$144&amp;$D$144&lt;&gt;HV121&amp;HX121)*($D$143&amp;$B$143&lt;&gt;HV121&amp;HX121)*($D$144&amp;$B$144&lt;&gt;HV121&amp;HX121)</f>
        <v>1</v>
      </c>
      <c r="IC146" s="342">
        <f>IFERROR(VLOOKUP(HV121,$B$143:$F$144,5,0),0)</f>
        <v>0</v>
      </c>
      <c r="ID146" s="342">
        <f>IFERROR(VLOOKUP(HX121,$B$143:$F$144,5,0),0)</f>
        <v>0</v>
      </c>
      <c r="IE146" s="342">
        <f>IFERROR(VLOOKUP(HV121,$D$121:$G$122,4,0),0)</f>
        <v>0</v>
      </c>
      <c r="IF146" s="342">
        <f>IFERROR(VLOOKUP(HX121,$D$121:$G$122,4,0),0)</f>
        <v>0</v>
      </c>
      <c r="IG146" s="343"/>
      <c r="II146"/>
      <c r="IJ146"/>
      <c r="IK146"/>
      <c r="IL146" s="342"/>
      <c r="IM146" s="342"/>
      <c r="IN146" s="342"/>
      <c r="IO146" s="342">
        <f>(IT121&lt;&gt;2)+($B$143&amp;$D$143&lt;&gt;II121&amp;IK121)*($B$144&amp;$D$144&lt;&gt;II121&amp;IK121)*($D$143&amp;$B$143&lt;&gt;II121&amp;IK121)*($D$144&amp;$B$144&lt;&gt;II121&amp;IK121)</f>
        <v>1</v>
      </c>
      <c r="IP146" s="342">
        <f>IFERROR(VLOOKUP(II121,$B$143:$F$144,5,0),0)</f>
        <v>0</v>
      </c>
      <c r="IQ146" s="342">
        <f>IFERROR(VLOOKUP(IK121,$B$143:$F$144,5,0),0)</f>
        <v>0</v>
      </c>
      <c r="IR146" s="342">
        <f>IFERROR(VLOOKUP(II121,$D$121:$G$122,4,0),0)</f>
        <v>0</v>
      </c>
      <c r="IS146" s="342">
        <f>IFERROR(VLOOKUP(IK121,$D$121:$G$122,4,0),0)</f>
        <v>0</v>
      </c>
      <c r="IT146" s="343"/>
      <c r="IV146"/>
      <c r="IW146"/>
      <c r="IX146"/>
      <c r="IY146" s="342"/>
      <c r="IZ146" s="342"/>
      <c r="JA146" s="342"/>
      <c r="JB146" s="342">
        <f>(JG121&lt;&gt;2)+($B$143&amp;$D$143&lt;&gt;IV121&amp;IX121)*($B$144&amp;$D$144&lt;&gt;IV121&amp;IX121)*($D$143&amp;$B$143&lt;&gt;IV121&amp;IX121)*($D$144&amp;$B$144&lt;&gt;IV121&amp;IX121)</f>
        <v>1</v>
      </c>
      <c r="JC146" s="342">
        <f>IFERROR(VLOOKUP(IV121,$B$143:$F$144,5,0),0)</f>
        <v>0</v>
      </c>
      <c r="JD146" s="342">
        <f>IFERROR(VLOOKUP(IX121,$B$143:$F$144,5,0),0)</f>
        <v>0</v>
      </c>
      <c r="JE146" s="342">
        <f>IFERROR(VLOOKUP(IV121,$D$121:$G$122,4,0),0)</f>
        <v>0</v>
      </c>
      <c r="JF146" s="342">
        <f>IFERROR(VLOOKUP(IX121,$D$121:$G$122,4,0),0)</f>
        <v>0</v>
      </c>
      <c r="JG146" s="343"/>
      <c r="JI146"/>
      <c r="JJ146"/>
      <c r="JK146"/>
      <c r="JL146" s="342"/>
      <c r="JM146" s="342"/>
      <c r="JN146" s="342"/>
      <c r="JO146" s="342">
        <f>(JT121&lt;&gt;2)+($B$143&amp;$D$143&lt;&gt;JI121&amp;JK121)*($B$144&amp;$D$144&lt;&gt;JI121&amp;JK121)*($D$143&amp;$B$143&lt;&gt;JI121&amp;JK121)*($D$144&amp;$B$144&lt;&gt;JI121&amp;JK121)</f>
        <v>1</v>
      </c>
      <c r="JP146" s="342">
        <f>IFERROR(VLOOKUP(JI121,$B$143:$F$144,5,0),0)</f>
        <v>0</v>
      </c>
      <c r="JQ146" s="342">
        <f>IFERROR(VLOOKUP(JK121,$B$143:$F$144,5,0),0)</f>
        <v>0</v>
      </c>
      <c r="JR146" s="342">
        <f>IFERROR(VLOOKUP(JI121,$D$121:$G$122,4,0),0)</f>
        <v>0</v>
      </c>
      <c r="JS146" s="342">
        <f>IFERROR(VLOOKUP(JK121,$D$121:$G$122,4,0),0)</f>
        <v>0</v>
      </c>
      <c r="JT146" s="343"/>
      <c r="JV146"/>
      <c r="JW146"/>
      <c r="JX146"/>
      <c r="JY146" s="342"/>
      <c r="JZ146" s="342"/>
      <c r="KA146" s="342"/>
      <c r="KB146" s="342">
        <f>(KG121&lt;&gt;2)+($B$143&amp;$D$143&lt;&gt;JV121&amp;JX121)*($B$144&amp;$D$144&lt;&gt;JV121&amp;JX121)*($D$143&amp;$B$143&lt;&gt;JV121&amp;JX121)*($D$144&amp;$B$144&lt;&gt;JV121&amp;JX121)</f>
        <v>1</v>
      </c>
      <c r="KC146" s="342">
        <f>IFERROR(VLOOKUP(JV121,$B$143:$F$144,5,0),0)</f>
        <v>0</v>
      </c>
      <c r="KD146" s="342">
        <f>IFERROR(VLOOKUP(JX121,$B$143:$F$144,5,0),0)</f>
        <v>0</v>
      </c>
      <c r="KE146" s="342">
        <f>IFERROR(VLOOKUP(JV121,$D$121:$G$122,4,0),0)</f>
        <v>0</v>
      </c>
      <c r="KF146" s="342">
        <f>IFERROR(VLOOKUP(JX121,$D$121:$G$122,4,0),0)</f>
        <v>0</v>
      </c>
      <c r="KG146" s="343"/>
      <c r="KI146"/>
      <c r="KJ146"/>
      <c r="KK146"/>
      <c r="KL146" s="342"/>
      <c r="KM146" s="342"/>
      <c r="KN146" s="342"/>
      <c r="KO146" s="342">
        <f>(KT121&lt;&gt;2)+($B$143&amp;$D$143&lt;&gt;KI121&amp;KK121)*($B$144&amp;$D$144&lt;&gt;KI121&amp;KK121)*($D$143&amp;$B$143&lt;&gt;KI121&amp;KK121)*($D$144&amp;$B$144&lt;&gt;KI121&amp;KK121)</f>
        <v>1</v>
      </c>
      <c r="KP146" s="342">
        <f>IFERROR(VLOOKUP(KI121,$B$143:$F$144,5,0),0)</f>
        <v>0</v>
      </c>
      <c r="KQ146" s="342">
        <f>IFERROR(VLOOKUP(KK121,$B$143:$F$144,5,0),0)</f>
        <v>0</v>
      </c>
      <c r="KR146" s="342">
        <f>IFERROR(VLOOKUP(KI121,$D$121:$G$122,4,0),0)</f>
        <v>0</v>
      </c>
      <c r="KS146" s="342">
        <f>IFERROR(VLOOKUP(KK121,$D$121:$G$122,4,0),0)</f>
        <v>0</v>
      </c>
      <c r="KT146" s="343"/>
      <c r="KV146"/>
      <c r="KW146"/>
      <c r="KX146"/>
      <c r="KY146" s="342"/>
      <c r="KZ146" s="342"/>
      <c r="LA146" s="342"/>
      <c r="LB146" s="342">
        <f>(LG121&lt;&gt;2)+($B$143&amp;$D$143&lt;&gt;KV121&amp;KX121)*($B$144&amp;$D$144&lt;&gt;KV121&amp;KX121)*($D$143&amp;$B$143&lt;&gt;KV121&amp;KX121)*($D$144&amp;$B$144&lt;&gt;KV121&amp;KX121)</f>
        <v>1</v>
      </c>
      <c r="LC146" s="342">
        <f>IFERROR(VLOOKUP(KV121,$B$143:$F$144,5,0),0)</f>
        <v>0</v>
      </c>
      <c r="LD146" s="342">
        <f>IFERROR(VLOOKUP(KX121,$B$143:$F$144,5,0),0)</f>
        <v>0</v>
      </c>
      <c r="LE146" s="342">
        <f>IFERROR(VLOOKUP(KV121,$D$121:$G$122,4,0),0)</f>
        <v>0</v>
      </c>
      <c r="LF146" s="342">
        <f>IFERROR(VLOOKUP(KX121,$D$121:$G$122,4,0),0)</f>
        <v>0</v>
      </c>
      <c r="LG146" s="343"/>
      <c r="LI146"/>
      <c r="LJ146"/>
      <c r="LK146"/>
      <c r="LL146" s="342"/>
      <c r="LM146" s="342"/>
      <c r="LN146" s="342"/>
      <c r="LO146" s="342">
        <f>(LT121&lt;&gt;2)+($B$143&amp;$D$143&lt;&gt;LI121&amp;LK121)*($B$144&amp;$D$144&lt;&gt;LI121&amp;LK121)*($D$143&amp;$B$143&lt;&gt;LI121&amp;LK121)*($D$144&amp;$B$144&lt;&gt;LI121&amp;LK121)</f>
        <v>1</v>
      </c>
      <c r="LP146" s="342">
        <f>IFERROR(VLOOKUP(LI121,$B$143:$F$144,5,0),0)</f>
        <v>0</v>
      </c>
      <c r="LQ146" s="342">
        <f>IFERROR(VLOOKUP(LK121,$B$143:$F$144,5,0),0)</f>
        <v>0</v>
      </c>
      <c r="LR146" s="342">
        <f>IFERROR(VLOOKUP(LI121,$D$121:$G$122,4,0),0)</f>
        <v>0</v>
      </c>
      <c r="LS146" s="342">
        <f>IFERROR(VLOOKUP(LK121,$D$121:$G$122,4,0),0)</f>
        <v>0</v>
      </c>
      <c r="LT146" s="343"/>
      <c r="LV146"/>
      <c r="LW146"/>
      <c r="LX146"/>
      <c r="LY146" s="342"/>
      <c r="LZ146" s="342"/>
      <c r="MA146" s="342"/>
      <c r="MB146" s="342">
        <f>(MG121&lt;&gt;2)+($B$143&amp;$D$143&lt;&gt;LV121&amp;LX121)*($B$144&amp;$D$144&lt;&gt;LV121&amp;LX121)*($D$143&amp;$B$143&lt;&gt;LV121&amp;LX121)*($D$144&amp;$B$144&lt;&gt;LV121&amp;LX121)</f>
        <v>1</v>
      </c>
      <c r="MC146" s="342">
        <f>IFERROR(VLOOKUP(LV121,$B$143:$F$144,5,0),0)</f>
        <v>0</v>
      </c>
      <c r="MD146" s="342">
        <f>IFERROR(VLOOKUP(LX121,$B$143:$F$144,5,0),0)</f>
        <v>0</v>
      </c>
      <c r="ME146" s="342">
        <f>IFERROR(VLOOKUP(LV121,$D$121:$G$122,4,0),0)</f>
        <v>0</v>
      </c>
      <c r="MF146" s="342">
        <f>IFERROR(VLOOKUP(LX121,$D$121:$G$122,4,0),0)</f>
        <v>0</v>
      </c>
      <c r="MG146" s="343"/>
    </row>
    <row r="147" spans="9:345">
      <c r="I147"/>
      <c r="J147"/>
      <c r="K147"/>
      <c r="L147" s="342"/>
      <c r="M147" s="342"/>
      <c r="N147" s="342"/>
      <c r="O147" s="342">
        <f t="shared" ref="O147" si="1976">(T122&lt;&gt;2)+($B$143&amp;$D$143&lt;&gt;I122&amp;K122)*($B$144&amp;$D$144&lt;&gt;I122&amp;K122)*($D$143&amp;$B$143&lt;&gt;I122&amp;K122)*($D$144&amp;$B$144&lt;&gt;I122&amp;K122)</f>
        <v>1</v>
      </c>
      <c r="P147" s="342">
        <f t="shared" ref="P147" si="1977">IFERROR(VLOOKUP(I122,$B$143:$F$144,5,0),0)</f>
        <v>0</v>
      </c>
      <c r="Q147" s="342">
        <f t="shared" ref="Q147" si="1978">IFERROR(VLOOKUP(K122,$B$143:$F$144,5,0),0)</f>
        <v>0</v>
      </c>
      <c r="R147" s="342">
        <f>IFERROR(VLOOKUP(I122,$D$121:$G$122,4,0),0)</f>
        <v>0</v>
      </c>
      <c r="S147" s="342">
        <f>IFERROR(VLOOKUP(K122,$D$121:$G$122,4,0),0)</f>
        <v>0</v>
      </c>
      <c r="T147" s="343"/>
      <c r="V147"/>
      <c r="W147"/>
      <c r="X147"/>
      <c r="Y147" s="342"/>
      <c r="Z147" s="342"/>
      <c r="AA147" s="342"/>
      <c r="AB147" s="342">
        <f t="shared" ref="AB147" si="1979">(AG122&lt;&gt;2)+($B$143&amp;$D$143&lt;&gt;V122&amp;X122)*($B$144&amp;$D$144&lt;&gt;V122&amp;X122)*($D$143&amp;$B$143&lt;&gt;V122&amp;X122)*($D$144&amp;$B$144&lt;&gt;V122&amp;X122)</f>
        <v>1</v>
      </c>
      <c r="AC147" s="342">
        <f t="shared" ref="AC147" si="1980">IFERROR(VLOOKUP(V122,$B$143:$F$144,5,0),0)</f>
        <v>0</v>
      </c>
      <c r="AD147" s="342">
        <f t="shared" ref="AD147" si="1981">IFERROR(VLOOKUP(X122,$B$143:$F$144,5,0),0)</f>
        <v>0</v>
      </c>
      <c r="AE147" s="342">
        <f>IFERROR(VLOOKUP(V122,$D$121:$G$122,4,0),0)</f>
        <v>0</v>
      </c>
      <c r="AF147" s="342">
        <f>IFERROR(VLOOKUP(X122,$D$121:$G$122,4,0),0)</f>
        <v>0</v>
      </c>
      <c r="AG147" s="343"/>
      <c r="AI147"/>
      <c r="AJ147"/>
      <c r="AK147"/>
      <c r="AL147" s="342"/>
      <c r="AM147" s="342"/>
      <c r="AN147" s="342"/>
      <c r="AO147" s="342">
        <f t="shared" ref="AO147" si="1982">(AT122&lt;&gt;2)+($B$143&amp;$D$143&lt;&gt;AI122&amp;AK122)*($B$144&amp;$D$144&lt;&gt;AI122&amp;AK122)*($D$143&amp;$B$143&lt;&gt;AI122&amp;AK122)*($D$144&amp;$B$144&lt;&gt;AI122&amp;AK122)</f>
        <v>1</v>
      </c>
      <c r="AP147" s="342">
        <f t="shared" ref="AP147" si="1983">IFERROR(VLOOKUP(AI122,$B$143:$F$144,5,0),0)</f>
        <v>0</v>
      </c>
      <c r="AQ147" s="342">
        <f t="shared" ref="AQ147" si="1984">IFERROR(VLOOKUP(AK122,$B$143:$F$144,5,0),0)</f>
        <v>0</v>
      </c>
      <c r="AR147" s="342">
        <f>IFERROR(VLOOKUP(AI122,$D$121:$G$122,4,0),0)</f>
        <v>0</v>
      </c>
      <c r="AS147" s="342">
        <f>IFERROR(VLOOKUP(AK122,$D$121:$G$122,4,0),0)</f>
        <v>0</v>
      </c>
      <c r="AT147" s="343"/>
      <c r="AV147"/>
      <c r="AW147"/>
      <c r="AX147"/>
      <c r="AY147" s="342"/>
      <c r="AZ147" s="342"/>
      <c r="BA147" s="342"/>
      <c r="BB147" s="342">
        <f t="shared" ref="BB147" si="1985">(BG122&lt;&gt;2)+($B$143&amp;$D$143&lt;&gt;AV122&amp;AX122)*($B$144&amp;$D$144&lt;&gt;AV122&amp;AX122)*($D$143&amp;$B$143&lt;&gt;AV122&amp;AX122)*($D$144&amp;$B$144&lt;&gt;AV122&amp;AX122)</f>
        <v>1</v>
      </c>
      <c r="BC147" s="342">
        <f t="shared" ref="BC147" si="1986">IFERROR(VLOOKUP(AV122,$B$143:$F$144,5,0),0)</f>
        <v>0</v>
      </c>
      <c r="BD147" s="342">
        <f t="shared" ref="BD147" si="1987">IFERROR(VLOOKUP(AX122,$B$143:$F$144,5,0),0)</f>
        <v>0</v>
      </c>
      <c r="BE147" s="342">
        <f>IFERROR(VLOOKUP(AV122,$D$121:$G$122,4,0),0)</f>
        <v>0</v>
      </c>
      <c r="BF147" s="342">
        <f>IFERROR(VLOOKUP(AX122,$D$121:$G$122,4,0),0)</f>
        <v>0</v>
      </c>
      <c r="BG147" s="343"/>
      <c r="BI147"/>
      <c r="BJ147"/>
      <c r="BK147"/>
      <c r="BL147" s="342"/>
      <c r="BM147" s="342"/>
      <c r="BN147" s="342"/>
      <c r="BO147" s="342">
        <f t="shared" ref="BO147" si="1988">(BT122&lt;&gt;2)+($B$143&amp;$D$143&lt;&gt;BI122&amp;BK122)*($B$144&amp;$D$144&lt;&gt;BI122&amp;BK122)*($D$143&amp;$B$143&lt;&gt;BI122&amp;BK122)*($D$144&amp;$B$144&lt;&gt;BI122&amp;BK122)</f>
        <v>1</v>
      </c>
      <c r="BP147" s="342">
        <f t="shared" ref="BP147" si="1989">IFERROR(VLOOKUP(BI122,$B$143:$F$144,5,0),0)</f>
        <v>0</v>
      </c>
      <c r="BQ147" s="342">
        <f t="shared" ref="BQ147" si="1990">IFERROR(VLOOKUP(BK122,$B$143:$F$144,5,0),0)</f>
        <v>0</v>
      </c>
      <c r="BR147" s="342">
        <f>IFERROR(VLOOKUP(BI122,$D$121:$G$122,4,0),0)</f>
        <v>0</v>
      </c>
      <c r="BS147" s="342">
        <f>IFERROR(VLOOKUP(BK122,$D$121:$G$122,4,0),0)</f>
        <v>0</v>
      </c>
      <c r="BT147" s="343"/>
      <c r="BV147"/>
      <c r="BW147"/>
      <c r="BX147"/>
      <c r="BY147" s="342"/>
      <c r="BZ147" s="342"/>
      <c r="CA147" s="342"/>
      <c r="CB147" s="342">
        <f t="shared" ref="CB147" si="1991">(CG122&lt;&gt;2)+($B$143&amp;$D$143&lt;&gt;BV122&amp;BX122)*($B$144&amp;$D$144&lt;&gt;BV122&amp;BX122)*($D$143&amp;$B$143&lt;&gt;BV122&amp;BX122)*($D$144&amp;$B$144&lt;&gt;BV122&amp;BX122)</f>
        <v>1</v>
      </c>
      <c r="CC147" s="342">
        <f t="shared" ref="CC147" si="1992">IFERROR(VLOOKUP(BV122,$B$143:$F$144,5,0),0)</f>
        <v>0</v>
      </c>
      <c r="CD147" s="342">
        <f t="shared" ref="CD147" si="1993">IFERROR(VLOOKUP(BX122,$B$143:$F$144,5,0),0)</f>
        <v>0</v>
      </c>
      <c r="CE147" s="342">
        <f>IFERROR(VLOOKUP(BV122,$D$121:$G$122,4,0),0)</f>
        <v>0</v>
      </c>
      <c r="CF147" s="342">
        <f>IFERROR(VLOOKUP(BX122,$D$121:$G$122,4,0),0)</f>
        <v>0</v>
      </c>
      <c r="CG147" s="343"/>
      <c r="CI147"/>
      <c r="CJ147"/>
      <c r="CK147"/>
      <c r="CL147" s="342"/>
      <c r="CM147" s="342"/>
      <c r="CN147" s="342"/>
      <c r="CO147" s="342">
        <f t="shared" ref="CO147" si="1994">(CT122&lt;&gt;2)+($B$143&amp;$D$143&lt;&gt;CI122&amp;CK122)*($B$144&amp;$D$144&lt;&gt;CI122&amp;CK122)*($D$143&amp;$B$143&lt;&gt;CI122&amp;CK122)*($D$144&amp;$B$144&lt;&gt;CI122&amp;CK122)</f>
        <v>1</v>
      </c>
      <c r="CP147" s="342">
        <f t="shared" ref="CP147" si="1995">IFERROR(VLOOKUP(CI122,$B$143:$F$144,5,0),0)</f>
        <v>0</v>
      </c>
      <c r="CQ147" s="342">
        <f t="shared" ref="CQ147" si="1996">IFERROR(VLOOKUP(CK122,$B$143:$F$144,5,0),0)</f>
        <v>0</v>
      </c>
      <c r="CR147" s="342">
        <f>IFERROR(VLOOKUP(CI122,$D$121:$G$122,4,0),0)</f>
        <v>0</v>
      </c>
      <c r="CS147" s="342">
        <f>IFERROR(VLOOKUP(CK122,$D$121:$G$122,4,0),0)</f>
        <v>0</v>
      </c>
      <c r="CT147" s="343"/>
      <c r="CV147"/>
      <c r="CW147"/>
      <c r="CX147"/>
      <c r="CY147" s="342"/>
      <c r="CZ147" s="342"/>
      <c r="DA147" s="342"/>
      <c r="DB147" s="342">
        <f t="shared" ref="DB147" si="1997">(DG122&lt;&gt;2)+($B$143&amp;$D$143&lt;&gt;CV122&amp;CX122)*($B$144&amp;$D$144&lt;&gt;CV122&amp;CX122)*($D$143&amp;$B$143&lt;&gt;CV122&amp;CX122)*($D$144&amp;$B$144&lt;&gt;CV122&amp;CX122)</f>
        <v>1</v>
      </c>
      <c r="DC147" s="342">
        <f t="shared" ref="DC147" si="1998">IFERROR(VLOOKUP(CV122,$B$143:$F$144,5,0),0)</f>
        <v>0</v>
      </c>
      <c r="DD147" s="342">
        <f t="shared" ref="DD147" si="1999">IFERROR(VLOOKUP(CX122,$B$143:$F$144,5,0),0)</f>
        <v>0</v>
      </c>
      <c r="DE147" s="342">
        <f>IFERROR(VLOOKUP(CV122,$D$121:$G$122,4,0),0)</f>
        <v>0</v>
      </c>
      <c r="DF147" s="342">
        <f>IFERROR(VLOOKUP(CX122,$D$121:$G$122,4,0),0)</f>
        <v>0</v>
      </c>
      <c r="DG147" s="343"/>
      <c r="DI147"/>
      <c r="DJ147"/>
      <c r="DK147"/>
      <c r="DL147" s="342"/>
      <c r="DM147" s="342"/>
      <c r="DN147" s="342"/>
      <c r="DO147" s="342">
        <f t="shared" ref="DO147" si="2000">(DT122&lt;&gt;2)+($B$143&amp;$D$143&lt;&gt;DI122&amp;DK122)*($B$144&amp;$D$144&lt;&gt;DI122&amp;DK122)*($D$143&amp;$B$143&lt;&gt;DI122&amp;DK122)*($D$144&amp;$B$144&lt;&gt;DI122&amp;DK122)</f>
        <v>1</v>
      </c>
      <c r="DP147" s="342">
        <f t="shared" ref="DP147" si="2001">IFERROR(VLOOKUP(DI122,$B$143:$F$144,5,0),0)</f>
        <v>0</v>
      </c>
      <c r="DQ147" s="342">
        <f t="shared" ref="DQ147" si="2002">IFERROR(VLOOKUP(DK122,$B$143:$F$144,5,0),0)</f>
        <v>0</v>
      </c>
      <c r="DR147" s="342">
        <f>IFERROR(VLOOKUP(DI122,$D$121:$G$122,4,0),0)</f>
        <v>0</v>
      </c>
      <c r="DS147" s="342">
        <f>IFERROR(VLOOKUP(DK122,$D$121:$G$122,4,0),0)</f>
        <v>0</v>
      </c>
      <c r="DT147" s="343"/>
      <c r="DV147"/>
      <c r="DW147"/>
      <c r="DX147"/>
      <c r="DY147" s="342"/>
      <c r="DZ147" s="342"/>
      <c r="EA147" s="342"/>
      <c r="EB147" s="342">
        <f t="shared" ref="EB147" si="2003">(EG122&lt;&gt;2)+($B$143&amp;$D$143&lt;&gt;DV122&amp;DX122)*($B$144&amp;$D$144&lt;&gt;DV122&amp;DX122)*($D$143&amp;$B$143&lt;&gt;DV122&amp;DX122)*($D$144&amp;$B$144&lt;&gt;DV122&amp;DX122)</f>
        <v>1</v>
      </c>
      <c r="EC147" s="342">
        <f t="shared" ref="EC147" si="2004">IFERROR(VLOOKUP(DV122,$B$143:$F$144,5,0),0)</f>
        <v>0</v>
      </c>
      <c r="ED147" s="342">
        <f t="shared" ref="ED147" si="2005">IFERROR(VLOOKUP(DX122,$B$143:$F$144,5,0),0)</f>
        <v>0</v>
      </c>
      <c r="EE147" s="342">
        <f>IFERROR(VLOOKUP(DV122,$D$121:$G$122,4,0),0)</f>
        <v>0</v>
      </c>
      <c r="EF147" s="342">
        <f>IFERROR(VLOOKUP(DX122,$D$121:$G$122,4,0),0)</f>
        <v>0</v>
      </c>
      <c r="EG147" s="343"/>
      <c r="EI147"/>
      <c r="EJ147"/>
      <c r="EK147"/>
      <c r="EL147" s="342"/>
      <c r="EM147" s="342"/>
      <c r="EN147" s="342"/>
      <c r="EO147" s="342">
        <f t="shared" ref="EO147" si="2006">(ET122&lt;&gt;2)+($B$143&amp;$D$143&lt;&gt;EI122&amp;EK122)*($B$144&amp;$D$144&lt;&gt;EI122&amp;EK122)*($D$143&amp;$B$143&lt;&gt;EI122&amp;EK122)*($D$144&amp;$B$144&lt;&gt;EI122&amp;EK122)</f>
        <v>1</v>
      </c>
      <c r="EP147" s="342">
        <f t="shared" ref="EP147" si="2007">IFERROR(VLOOKUP(EI122,$B$143:$F$144,5,0),0)</f>
        <v>0</v>
      </c>
      <c r="EQ147" s="342">
        <f t="shared" ref="EQ147" si="2008">IFERROR(VLOOKUP(EK122,$B$143:$F$144,5,0),0)</f>
        <v>0</v>
      </c>
      <c r="ER147" s="342">
        <f>IFERROR(VLOOKUP(EI122,$D$121:$G$122,4,0),0)</f>
        <v>0</v>
      </c>
      <c r="ES147" s="342">
        <f>IFERROR(VLOOKUP(EK122,$D$121:$G$122,4,0),0)</f>
        <v>0</v>
      </c>
      <c r="ET147" s="343"/>
      <c r="EV147"/>
      <c r="EW147"/>
      <c r="EX147"/>
      <c r="EY147" s="342"/>
      <c r="EZ147" s="342"/>
      <c r="FA147" s="342"/>
      <c r="FB147" s="342">
        <f t="shared" ref="FB147" si="2009">(FG122&lt;&gt;2)+($B$143&amp;$D$143&lt;&gt;EV122&amp;EX122)*($B$144&amp;$D$144&lt;&gt;EV122&amp;EX122)*($D$143&amp;$B$143&lt;&gt;EV122&amp;EX122)*($D$144&amp;$B$144&lt;&gt;EV122&amp;EX122)</f>
        <v>1</v>
      </c>
      <c r="FC147" s="342">
        <f t="shared" ref="FC147" si="2010">IFERROR(VLOOKUP(EV122,$B$143:$F$144,5,0),0)</f>
        <v>0</v>
      </c>
      <c r="FD147" s="342">
        <f t="shared" ref="FD147" si="2011">IFERROR(VLOOKUP(EX122,$B$143:$F$144,5,0),0)</f>
        <v>0</v>
      </c>
      <c r="FE147" s="342">
        <f>IFERROR(VLOOKUP(EV122,$D$121:$G$122,4,0),0)</f>
        <v>0</v>
      </c>
      <c r="FF147" s="342">
        <f>IFERROR(VLOOKUP(EX122,$D$121:$G$122,4,0),0)</f>
        <v>0</v>
      </c>
      <c r="FG147" s="343"/>
      <c r="FI147"/>
      <c r="FJ147"/>
      <c r="FK147"/>
      <c r="FL147" s="342"/>
      <c r="FM147" s="342"/>
      <c r="FN147" s="342"/>
      <c r="FO147" s="342">
        <f t="shared" ref="FO147" si="2012">(FT122&lt;&gt;2)+($B$143&amp;$D$143&lt;&gt;FI122&amp;FK122)*($B$144&amp;$D$144&lt;&gt;FI122&amp;FK122)*($D$143&amp;$B$143&lt;&gt;FI122&amp;FK122)*($D$144&amp;$B$144&lt;&gt;FI122&amp;FK122)</f>
        <v>1</v>
      </c>
      <c r="FP147" s="342">
        <f t="shared" ref="FP147" si="2013">IFERROR(VLOOKUP(FI122,$B$143:$F$144,5,0),0)</f>
        <v>0</v>
      </c>
      <c r="FQ147" s="342">
        <f t="shared" ref="FQ147" si="2014">IFERROR(VLOOKUP(FK122,$B$143:$F$144,5,0),0)</f>
        <v>0</v>
      </c>
      <c r="FR147" s="342">
        <f>IFERROR(VLOOKUP(FI122,$D$121:$G$122,4,0),0)</f>
        <v>0</v>
      </c>
      <c r="FS147" s="342">
        <f>IFERROR(VLOOKUP(FK122,$D$121:$G$122,4,0),0)</f>
        <v>0</v>
      </c>
      <c r="FT147" s="343"/>
      <c r="FV147"/>
      <c r="FW147"/>
      <c r="FX147"/>
      <c r="FY147" s="342"/>
      <c r="FZ147" s="342"/>
      <c r="GA147" s="342"/>
      <c r="GB147" s="342">
        <f t="shared" ref="GB147" si="2015">(GG122&lt;&gt;2)+($B$143&amp;$D$143&lt;&gt;FV122&amp;FX122)*($B$144&amp;$D$144&lt;&gt;FV122&amp;FX122)*($D$143&amp;$B$143&lt;&gt;FV122&amp;FX122)*($D$144&amp;$B$144&lt;&gt;FV122&amp;FX122)</f>
        <v>1</v>
      </c>
      <c r="GC147" s="342">
        <f t="shared" ref="GC147" si="2016">IFERROR(VLOOKUP(FV122,$B$143:$F$144,5,0),0)</f>
        <v>0</v>
      </c>
      <c r="GD147" s="342">
        <f t="shared" ref="GD147" si="2017">IFERROR(VLOOKUP(FX122,$B$143:$F$144,5,0),0)</f>
        <v>0</v>
      </c>
      <c r="GE147" s="342">
        <f>IFERROR(VLOOKUP(FV122,$D$121:$G$122,4,0),0)</f>
        <v>0</v>
      </c>
      <c r="GF147" s="342">
        <f>IFERROR(VLOOKUP(FX122,$D$121:$G$122,4,0),0)</f>
        <v>0</v>
      </c>
      <c r="GG147" s="343"/>
      <c r="GI147"/>
      <c r="GJ147"/>
      <c r="GK147"/>
      <c r="GL147" s="342"/>
      <c r="GM147" s="342"/>
      <c r="GN147" s="342"/>
      <c r="GO147" s="342">
        <f t="shared" ref="GO147" si="2018">(GT122&lt;&gt;2)+($B$143&amp;$D$143&lt;&gt;GI122&amp;GK122)*($B$144&amp;$D$144&lt;&gt;GI122&amp;GK122)*($D$143&amp;$B$143&lt;&gt;GI122&amp;GK122)*($D$144&amp;$B$144&lt;&gt;GI122&amp;GK122)</f>
        <v>1</v>
      </c>
      <c r="GP147" s="342">
        <f t="shared" ref="GP147" si="2019">IFERROR(VLOOKUP(GI122,$B$143:$F$144,5,0),0)</f>
        <v>0</v>
      </c>
      <c r="GQ147" s="342">
        <f t="shared" ref="GQ147" si="2020">IFERROR(VLOOKUP(GK122,$B$143:$F$144,5,0),0)</f>
        <v>0</v>
      </c>
      <c r="GR147" s="342">
        <f>IFERROR(VLOOKUP(GI122,$D$121:$G$122,4,0),0)</f>
        <v>0</v>
      </c>
      <c r="GS147" s="342">
        <f>IFERROR(VLOOKUP(GK122,$D$121:$G$122,4,0),0)</f>
        <v>0</v>
      </c>
      <c r="GT147" s="343"/>
      <c r="GV147"/>
      <c r="GW147"/>
      <c r="GX147"/>
      <c r="GY147" s="342"/>
      <c r="GZ147" s="342"/>
      <c r="HA147" s="342"/>
      <c r="HB147" s="342">
        <f t="shared" ref="HB147" si="2021">(HG122&lt;&gt;2)+($B$143&amp;$D$143&lt;&gt;GV122&amp;GX122)*($B$144&amp;$D$144&lt;&gt;GV122&amp;GX122)*($D$143&amp;$B$143&lt;&gt;GV122&amp;GX122)*($D$144&amp;$B$144&lt;&gt;GV122&amp;GX122)</f>
        <v>1</v>
      </c>
      <c r="HC147" s="342">
        <f t="shared" ref="HC147" si="2022">IFERROR(VLOOKUP(GV122,$B$143:$F$144,5,0),0)</f>
        <v>0</v>
      </c>
      <c r="HD147" s="342">
        <f t="shared" ref="HD147" si="2023">IFERROR(VLOOKUP(GX122,$B$143:$F$144,5,0),0)</f>
        <v>0</v>
      </c>
      <c r="HE147" s="342">
        <f>IFERROR(VLOOKUP(GV122,$D$121:$G$122,4,0),0)</f>
        <v>0</v>
      </c>
      <c r="HF147" s="342">
        <f>IFERROR(VLOOKUP(GX122,$D$121:$G$122,4,0),0)</f>
        <v>0</v>
      </c>
      <c r="HG147" s="343"/>
      <c r="HI147"/>
      <c r="HJ147"/>
      <c r="HK147"/>
      <c r="HL147" s="342"/>
      <c r="HM147" s="342"/>
      <c r="HN147" s="342"/>
      <c r="HO147" s="342">
        <f t="shared" ref="HO147" si="2024">(HT122&lt;&gt;2)+($B$143&amp;$D$143&lt;&gt;HI122&amp;HK122)*($B$144&amp;$D$144&lt;&gt;HI122&amp;HK122)*($D$143&amp;$B$143&lt;&gt;HI122&amp;HK122)*($D$144&amp;$B$144&lt;&gt;HI122&amp;HK122)</f>
        <v>1</v>
      </c>
      <c r="HP147" s="342">
        <f t="shared" ref="HP147" si="2025">IFERROR(VLOOKUP(HI122,$B$143:$F$144,5,0),0)</f>
        <v>0</v>
      </c>
      <c r="HQ147" s="342">
        <f t="shared" ref="HQ147" si="2026">IFERROR(VLOOKUP(HK122,$B$143:$F$144,5,0),0)</f>
        <v>0</v>
      </c>
      <c r="HR147" s="342">
        <f>IFERROR(VLOOKUP(HI122,$D$121:$G$122,4,0),0)</f>
        <v>0</v>
      </c>
      <c r="HS147" s="342">
        <f>IFERROR(VLOOKUP(HK122,$D$121:$G$122,4,0),0)</f>
        <v>0</v>
      </c>
      <c r="HT147" s="343"/>
      <c r="HV147"/>
      <c r="HW147"/>
      <c r="HX147"/>
      <c r="HY147" s="342"/>
      <c r="HZ147" s="342"/>
      <c r="IA147" s="342"/>
      <c r="IB147" s="342">
        <f t="shared" ref="IB147" si="2027">(IG122&lt;&gt;2)+($B$143&amp;$D$143&lt;&gt;HV122&amp;HX122)*($B$144&amp;$D$144&lt;&gt;HV122&amp;HX122)*($D$143&amp;$B$143&lt;&gt;HV122&amp;HX122)*($D$144&amp;$B$144&lt;&gt;HV122&amp;HX122)</f>
        <v>1</v>
      </c>
      <c r="IC147" s="342">
        <f t="shared" ref="IC147" si="2028">IFERROR(VLOOKUP(HV122,$B$143:$F$144,5,0),0)</f>
        <v>0</v>
      </c>
      <c r="ID147" s="342">
        <f t="shared" ref="ID147" si="2029">IFERROR(VLOOKUP(HX122,$B$143:$F$144,5,0),0)</f>
        <v>0</v>
      </c>
      <c r="IE147" s="342">
        <f>IFERROR(VLOOKUP(HV122,$D$121:$G$122,4,0),0)</f>
        <v>0</v>
      </c>
      <c r="IF147" s="342">
        <f>IFERROR(VLOOKUP(HX122,$D$121:$G$122,4,0),0)</f>
        <v>0</v>
      </c>
      <c r="IG147" s="343"/>
      <c r="II147"/>
      <c r="IJ147"/>
      <c r="IK147"/>
      <c r="IL147" s="342"/>
      <c r="IM147" s="342"/>
      <c r="IN147" s="342"/>
      <c r="IO147" s="342">
        <f t="shared" ref="IO147" si="2030">(IT122&lt;&gt;2)+($B$143&amp;$D$143&lt;&gt;II122&amp;IK122)*($B$144&amp;$D$144&lt;&gt;II122&amp;IK122)*($D$143&amp;$B$143&lt;&gt;II122&amp;IK122)*($D$144&amp;$B$144&lt;&gt;II122&amp;IK122)</f>
        <v>1</v>
      </c>
      <c r="IP147" s="342">
        <f t="shared" ref="IP147" si="2031">IFERROR(VLOOKUP(II122,$B$143:$F$144,5,0),0)</f>
        <v>0</v>
      </c>
      <c r="IQ147" s="342">
        <f t="shared" ref="IQ147" si="2032">IFERROR(VLOOKUP(IK122,$B$143:$F$144,5,0),0)</f>
        <v>0</v>
      </c>
      <c r="IR147" s="342">
        <f>IFERROR(VLOOKUP(II122,$D$121:$G$122,4,0),0)</f>
        <v>0</v>
      </c>
      <c r="IS147" s="342">
        <f>IFERROR(VLOOKUP(IK122,$D$121:$G$122,4,0),0)</f>
        <v>0</v>
      </c>
      <c r="IT147" s="343"/>
      <c r="IV147"/>
      <c r="IW147"/>
      <c r="IX147"/>
      <c r="IY147" s="342"/>
      <c r="IZ147" s="342"/>
      <c r="JA147" s="342"/>
      <c r="JB147" s="342">
        <f t="shared" ref="JB147" si="2033">(JG122&lt;&gt;2)+($B$143&amp;$D$143&lt;&gt;IV122&amp;IX122)*($B$144&amp;$D$144&lt;&gt;IV122&amp;IX122)*($D$143&amp;$B$143&lt;&gt;IV122&amp;IX122)*($D$144&amp;$B$144&lt;&gt;IV122&amp;IX122)</f>
        <v>1</v>
      </c>
      <c r="JC147" s="342">
        <f t="shared" ref="JC147" si="2034">IFERROR(VLOOKUP(IV122,$B$143:$F$144,5,0),0)</f>
        <v>0</v>
      </c>
      <c r="JD147" s="342">
        <f t="shared" ref="JD147" si="2035">IFERROR(VLOOKUP(IX122,$B$143:$F$144,5,0),0)</f>
        <v>0</v>
      </c>
      <c r="JE147" s="342">
        <f>IFERROR(VLOOKUP(IV122,$D$121:$G$122,4,0),0)</f>
        <v>0</v>
      </c>
      <c r="JF147" s="342">
        <f>IFERROR(VLOOKUP(IX122,$D$121:$G$122,4,0),0)</f>
        <v>0</v>
      </c>
      <c r="JG147" s="343"/>
      <c r="JI147"/>
      <c r="JJ147"/>
      <c r="JK147"/>
      <c r="JL147" s="342"/>
      <c r="JM147" s="342"/>
      <c r="JN147" s="342"/>
      <c r="JO147" s="342">
        <f t="shared" ref="JO147" si="2036">(JT122&lt;&gt;2)+($B$143&amp;$D$143&lt;&gt;JI122&amp;JK122)*($B$144&amp;$D$144&lt;&gt;JI122&amp;JK122)*($D$143&amp;$B$143&lt;&gt;JI122&amp;JK122)*($D$144&amp;$B$144&lt;&gt;JI122&amp;JK122)</f>
        <v>1</v>
      </c>
      <c r="JP147" s="342">
        <f t="shared" ref="JP147" si="2037">IFERROR(VLOOKUP(JI122,$B$143:$F$144,5,0),0)</f>
        <v>0</v>
      </c>
      <c r="JQ147" s="342">
        <f t="shared" ref="JQ147" si="2038">IFERROR(VLOOKUP(JK122,$B$143:$F$144,5,0),0)</f>
        <v>0</v>
      </c>
      <c r="JR147" s="342">
        <f>IFERROR(VLOOKUP(JI122,$D$121:$G$122,4,0),0)</f>
        <v>0</v>
      </c>
      <c r="JS147" s="342">
        <f>IFERROR(VLOOKUP(JK122,$D$121:$G$122,4,0),0)</f>
        <v>0</v>
      </c>
      <c r="JT147" s="343"/>
      <c r="JV147"/>
      <c r="JW147"/>
      <c r="JX147"/>
      <c r="JY147" s="342"/>
      <c r="JZ147" s="342"/>
      <c r="KA147" s="342"/>
      <c r="KB147" s="342">
        <f t="shared" ref="KB147" si="2039">(KG122&lt;&gt;2)+($B$143&amp;$D$143&lt;&gt;JV122&amp;JX122)*($B$144&amp;$D$144&lt;&gt;JV122&amp;JX122)*($D$143&amp;$B$143&lt;&gt;JV122&amp;JX122)*($D$144&amp;$B$144&lt;&gt;JV122&amp;JX122)</f>
        <v>1</v>
      </c>
      <c r="KC147" s="342">
        <f t="shared" ref="KC147" si="2040">IFERROR(VLOOKUP(JV122,$B$143:$F$144,5,0),0)</f>
        <v>0</v>
      </c>
      <c r="KD147" s="342">
        <f t="shared" ref="KD147" si="2041">IFERROR(VLOOKUP(JX122,$B$143:$F$144,5,0),0)</f>
        <v>0</v>
      </c>
      <c r="KE147" s="342">
        <f>IFERROR(VLOOKUP(JV122,$D$121:$G$122,4,0),0)</f>
        <v>0</v>
      </c>
      <c r="KF147" s="342">
        <f>IFERROR(VLOOKUP(JX122,$D$121:$G$122,4,0),0)</f>
        <v>0</v>
      </c>
      <c r="KG147" s="343"/>
      <c r="KI147"/>
      <c r="KJ147"/>
      <c r="KK147"/>
      <c r="KL147" s="342"/>
      <c r="KM147" s="342"/>
      <c r="KN147" s="342"/>
      <c r="KO147" s="342">
        <f t="shared" ref="KO147" si="2042">(KT122&lt;&gt;2)+($B$143&amp;$D$143&lt;&gt;KI122&amp;KK122)*($B$144&amp;$D$144&lt;&gt;KI122&amp;KK122)*($D$143&amp;$B$143&lt;&gt;KI122&amp;KK122)*($D$144&amp;$B$144&lt;&gt;KI122&amp;KK122)</f>
        <v>1</v>
      </c>
      <c r="KP147" s="342">
        <f t="shared" ref="KP147" si="2043">IFERROR(VLOOKUP(KI122,$B$143:$F$144,5,0),0)</f>
        <v>0</v>
      </c>
      <c r="KQ147" s="342">
        <f t="shared" ref="KQ147" si="2044">IFERROR(VLOOKUP(KK122,$B$143:$F$144,5,0),0)</f>
        <v>0</v>
      </c>
      <c r="KR147" s="342">
        <f>IFERROR(VLOOKUP(KI122,$D$121:$G$122,4,0),0)</f>
        <v>0</v>
      </c>
      <c r="KS147" s="342">
        <f>IFERROR(VLOOKUP(KK122,$D$121:$G$122,4,0),0)</f>
        <v>0</v>
      </c>
      <c r="KT147" s="343"/>
      <c r="KV147"/>
      <c r="KW147"/>
      <c r="KX147"/>
      <c r="KY147" s="342"/>
      <c r="KZ147" s="342"/>
      <c r="LA147" s="342"/>
      <c r="LB147" s="342">
        <f t="shared" ref="LB147" si="2045">(LG122&lt;&gt;2)+($B$143&amp;$D$143&lt;&gt;KV122&amp;KX122)*($B$144&amp;$D$144&lt;&gt;KV122&amp;KX122)*($D$143&amp;$B$143&lt;&gt;KV122&amp;KX122)*($D$144&amp;$B$144&lt;&gt;KV122&amp;KX122)</f>
        <v>1</v>
      </c>
      <c r="LC147" s="342">
        <f t="shared" ref="LC147" si="2046">IFERROR(VLOOKUP(KV122,$B$143:$F$144,5,0),0)</f>
        <v>0</v>
      </c>
      <c r="LD147" s="342">
        <f t="shared" ref="LD147" si="2047">IFERROR(VLOOKUP(KX122,$B$143:$F$144,5,0),0)</f>
        <v>0</v>
      </c>
      <c r="LE147" s="342">
        <f>IFERROR(VLOOKUP(KV122,$D$121:$G$122,4,0),0)</f>
        <v>0</v>
      </c>
      <c r="LF147" s="342">
        <f>IFERROR(VLOOKUP(KX122,$D$121:$G$122,4,0),0)</f>
        <v>0</v>
      </c>
      <c r="LG147" s="343"/>
      <c r="LI147"/>
      <c r="LJ147"/>
      <c r="LK147"/>
      <c r="LL147" s="342"/>
      <c r="LM147" s="342"/>
      <c r="LN147" s="342"/>
      <c r="LO147" s="342">
        <f t="shared" ref="LO147" si="2048">(LT122&lt;&gt;2)+($B$143&amp;$D$143&lt;&gt;LI122&amp;LK122)*($B$144&amp;$D$144&lt;&gt;LI122&amp;LK122)*($D$143&amp;$B$143&lt;&gt;LI122&amp;LK122)*($D$144&amp;$B$144&lt;&gt;LI122&amp;LK122)</f>
        <v>1</v>
      </c>
      <c r="LP147" s="342">
        <f t="shared" ref="LP147" si="2049">IFERROR(VLOOKUP(LI122,$B$143:$F$144,5,0),0)</f>
        <v>0</v>
      </c>
      <c r="LQ147" s="342">
        <f t="shared" ref="LQ147" si="2050">IFERROR(VLOOKUP(LK122,$B$143:$F$144,5,0),0)</f>
        <v>0</v>
      </c>
      <c r="LR147" s="342">
        <f>IFERROR(VLOOKUP(LI122,$D$121:$G$122,4,0),0)</f>
        <v>0</v>
      </c>
      <c r="LS147" s="342">
        <f>IFERROR(VLOOKUP(LK122,$D$121:$G$122,4,0),0)</f>
        <v>0</v>
      </c>
      <c r="LT147" s="343"/>
      <c r="LV147"/>
      <c r="LW147"/>
      <c r="LX147"/>
      <c r="LY147" s="342"/>
      <c r="LZ147" s="342"/>
      <c r="MA147" s="342"/>
      <c r="MB147" s="342">
        <f t="shared" ref="MB147" si="2051">(MG122&lt;&gt;2)+($B$143&amp;$D$143&lt;&gt;LV122&amp;LX122)*($B$144&amp;$D$144&lt;&gt;LV122&amp;LX122)*($D$143&amp;$B$143&lt;&gt;LV122&amp;LX122)*($D$144&amp;$B$144&lt;&gt;LV122&amp;LX122)</f>
        <v>1</v>
      </c>
      <c r="MC147" s="342">
        <f t="shared" ref="MC147" si="2052">IFERROR(VLOOKUP(LV122,$B$143:$F$144,5,0),0)</f>
        <v>0</v>
      </c>
      <c r="MD147" s="342">
        <f t="shared" ref="MD147" si="2053">IFERROR(VLOOKUP(LX122,$B$143:$F$144,5,0),0)</f>
        <v>0</v>
      </c>
      <c r="ME147" s="342">
        <f>IFERROR(VLOOKUP(LV122,$D$121:$G$122,4,0),0)</f>
        <v>0</v>
      </c>
      <c r="MF147" s="342">
        <f>IFERROR(VLOOKUP(LX122,$D$121:$G$122,4,0),0)</f>
        <v>0</v>
      </c>
      <c r="MG147" s="343"/>
    </row>
    <row r="148" spans="9:345">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4.5" zeroHeight="1"/>
  <cols>
    <col min="1" max="1" width="11.453125" customWidth="1"/>
    <col min="2" max="2" width="6.26953125" style="26" customWidth="1"/>
    <col min="3" max="3" width="21" style="40" customWidth="1"/>
    <col min="4" max="5" width="11.453125" customWidth="1"/>
    <col min="6" max="6" width="3.26953125" hidden="1" customWidth="1"/>
    <col min="7" max="7" width="11.453125" hidden="1" customWidth="1"/>
    <col min="8" max="8" width="21" hidden="1" customWidth="1"/>
    <col min="9" max="10" width="11.453125" hidden="1" customWidth="1"/>
    <col min="11" max="11" width="8" hidden="1" customWidth="1"/>
    <col min="12" max="12" width="18.1796875" hidden="1" customWidth="1"/>
    <col min="13" max="13" width="5.54296875" hidden="1" customWidth="1"/>
    <col min="14" max="16384" width="11.453125" hidden="1"/>
  </cols>
  <sheetData>
    <row r="1" spans="2:13" ht="23.5">
      <c r="B1" s="878" t="str">
        <f>Language!$E$127</f>
        <v xml:space="preserve">Voorspellingsklassificatie </v>
      </c>
      <c r="C1" s="878"/>
      <c r="D1" s="878"/>
    </row>
    <row r="2" spans="2:13" ht="15" thickBot="1"/>
    <row r="3" spans="2:13" ht="15.5" thickTop="1" thickBot="1">
      <c r="B3" s="269"/>
      <c r="C3" s="270" t="str">
        <f>Language!$E$176</f>
        <v>Naam</v>
      </c>
      <c r="D3" s="271" t="str">
        <f>Language!$E$135</f>
        <v>Totaal</v>
      </c>
      <c r="E3" s="272"/>
      <c r="F3" s="272"/>
      <c r="G3" s="273" t="s">
        <v>638</v>
      </c>
      <c r="H3" s="274" t="s">
        <v>403</v>
      </c>
      <c r="I3" s="271" t="s">
        <v>192</v>
      </c>
      <c r="J3" s="275" t="s">
        <v>638</v>
      </c>
      <c r="L3" s="19" t="s">
        <v>697</v>
      </c>
      <c r="M3">
        <v>9</v>
      </c>
    </row>
    <row r="4" spans="2:13">
      <c r="B4" s="276">
        <v>1</v>
      </c>
      <c r="C4" s="277" t="str">
        <f>IFERROR(VLOOKUP(B4,$G$4:$H$103,2,0),"")</f>
        <v>Anna</v>
      </c>
      <c r="D4" s="278">
        <f>IFERROR(VLOOKUP(B4,$G$4:$I$103,3,0),"")</f>
        <v>0</v>
      </c>
      <c r="E4" s="26"/>
      <c r="F4" s="26"/>
      <c r="G4" s="279">
        <f t="shared" ref="G4:G35" si="0">IF(J4="","",RANK(J4,$J$4:$J$103,1))</f>
        <v>1</v>
      </c>
      <c r="H4" s="304" t="str">
        <f>IF(INDEX(Predictions_2!$A$2:$AWV$3,2,$M$3+(ROW(A1)-1)*$M$4)="","",INDEX(Predictions_2!$A$2:$AWV$3,2,$M$3+(ROW(A1)-1)*$M$4))</f>
        <v>Anna</v>
      </c>
      <c r="I4" s="305">
        <f>IF(INDEX(Predictions_2!$A$2:$AWV$3,2,$M$3+(ROW(A1)-1)*$M$4)="","",INDEX(Predictions_2!$A$2:$AWV$3,1,$M$3+(ROW(A1)-1)*$M$4))</f>
        <v>0</v>
      </c>
      <c r="J4" s="279">
        <f t="shared" ref="J4:J35" si="1">IF(I4="","",RANK(I4,$I$4:$I$103,0)+ROW()*0.001)</f>
        <v>1.004</v>
      </c>
      <c r="L4" t="s">
        <v>698</v>
      </c>
      <c r="M4">
        <v>13</v>
      </c>
    </row>
    <row r="5" spans="2:13">
      <c r="B5" s="280">
        <v>2</v>
      </c>
      <c r="C5" s="277" t="str">
        <f t="shared" ref="C5:C68" si="2">IFERROR(VLOOKUP(B5,$G$4:$H$103,2,0),"")</f>
        <v>Peter</v>
      </c>
      <c r="D5" s="278">
        <f t="shared" ref="D5:D68" si="3">IFERROR(VLOOKUP(B5,$G$4:$I$103,3,0),"")</f>
        <v>0</v>
      </c>
      <c r="E5" s="26"/>
      <c r="F5" s="26"/>
      <c r="G5" s="281">
        <f t="shared" si="0"/>
        <v>2</v>
      </c>
      <c r="H5" s="282" t="str">
        <f>IF(INDEX(Predictions_2!$A$2:$AWV$3,2,$M$3+(ROW(A2)-1)*$M$4)="","",INDEX(Predictions_2!$A$2:$AWV$3,2,$M$3+(ROW(A2)-1)*$M$4))</f>
        <v>Peter</v>
      </c>
      <c r="I5" s="283">
        <f>IF(INDEX(Predictions_2!$A$2:$AWV$3,2,$M$3+(ROW(A2)-1)*$M$4)="","",INDEX(Predictions_2!$A$2:$AWV$3,1,$M$3+(ROW(A2)-1)*$M$4))</f>
        <v>0</v>
      </c>
      <c r="J5" s="281">
        <f t="shared" si="1"/>
        <v>1.0049999999999999</v>
      </c>
    </row>
    <row r="6" spans="2:13">
      <c r="B6" s="276">
        <v>3</v>
      </c>
      <c r="C6" s="277" t="str">
        <f t="shared" si="2"/>
        <v/>
      </c>
      <c r="D6" s="278" t="str">
        <f t="shared" si="3"/>
        <v/>
      </c>
      <c r="E6" s="26"/>
      <c r="F6" s="26"/>
      <c r="G6" s="281" t="str">
        <f t="shared" si="0"/>
        <v/>
      </c>
      <c r="H6" s="282" t="str">
        <f>IF(INDEX(Predictions_2!$A$2:$AWV$3,2,$M$3+(ROW(A3)-1)*$M$4)="","",INDEX(Predictions_2!$A$2:$AWV$3,2,$M$3+(ROW(A3)-1)*$M$4))</f>
        <v/>
      </c>
      <c r="I6" s="283" t="str">
        <f>IF(INDEX(Predictions_2!$A$2:$AWV$3,2,$M$3+(ROW(A3)-1)*$M$4)="","",INDEX(Predictions_2!$A$2:$AWV$3,1,$M$3+(ROW(A3)-1)*$M$4))</f>
        <v/>
      </c>
      <c r="J6" s="281" t="str">
        <f t="shared" si="1"/>
        <v/>
      </c>
    </row>
    <row r="7" spans="2:13">
      <c r="B7" s="280">
        <v>4</v>
      </c>
      <c r="C7" s="277" t="str">
        <f t="shared" si="2"/>
        <v/>
      </c>
      <c r="D7" s="278" t="str">
        <f t="shared" si="3"/>
        <v/>
      </c>
      <c r="E7" s="26"/>
      <c r="F7" s="26"/>
      <c r="G7" s="281" t="str">
        <f t="shared" si="0"/>
        <v/>
      </c>
      <c r="H7" s="282" t="str">
        <f>IF(INDEX(Predictions_2!$A$2:$AWV$3,2,$M$3+(ROW(A4)-1)*$M$4)="","",INDEX(Predictions_2!$A$2:$AWV$3,2,$M$3+(ROW(A4)-1)*$M$4))</f>
        <v/>
      </c>
      <c r="I7" s="283" t="str">
        <f>IF(INDEX(Predictions_2!$A$2:$AWV$3,2,$M$3+(ROW(A4)-1)*$M$4)="","",INDEX(Predictions_2!$A$2:$AWV$3,1,$M$3+(ROW(A4)-1)*$M$4))</f>
        <v/>
      </c>
      <c r="J7" s="281" t="str">
        <f t="shared" si="1"/>
        <v/>
      </c>
    </row>
    <row r="8" spans="2:13">
      <c r="B8" s="276">
        <v>5</v>
      </c>
      <c r="C8" s="277" t="str">
        <f t="shared" si="2"/>
        <v/>
      </c>
      <c r="D8" s="278" t="str">
        <f t="shared" si="3"/>
        <v/>
      </c>
      <c r="E8" s="26"/>
      <c r="F8" s="26"/>
      <c r="G8" s="281" t="str">
        <f t="shared" si="0"/>
        <v/>
      </c>
      <c r="H8" s="282" t="str">
        <f>IF(INDEX(Predictions_2!$A$2:$AWV$3,2,$M$3+(ROW(A5)-1)*$M$4)="","",INDEX(Predictions_2!$A$2:$AWV$3,2,$M$3+(ROW(A5)-1)*$M$4))</f>
        <v/>
      </c>
      <c r="I8" s="283" t="str">
        <f>IF(INDEX(Predictions_2!$A$2:$AWV$3,2,$M$3+(ROW(A5)-1)*$M$4)="","",INDEX(Predictions_2!$A$2:$AWV$3,1,$M$3+(ROW(A5)-1)*$M$4))</f>
        <v/>
      </c>
      <c r="J8" s="281" t="str">
        <f t="shared" si="1"/>
        <v/>
      </c>
    </row>
    <row r="9" spans="2:13">
      <c r="B9" s="280">
        <v>6</v>
      </c>
      <c r="C9" s="277" t="str">
        <f t="shared" si="2"/>
        <v/>
      </c>
      <c r="D9" s="278" t="str">
        <f t="shared" si="3"/>
        <v/>
      </c>
      <c r="E9" s="26"/>
      <c r="F9" s="26"/>
      <c r="G9" s="281" t="str">
        <f t="shared" si="0"/>
        <v/>
      </c>
      <c r="H9" s="282" t="str">
        <f>IF(INDEX(Predictions_2!$A$2:$AWV$3,2,$M$3+(ROW(A6)-1)*$M$4)="","",INDEX(Predictions_2!$A$2:$AWV$3,2,$M$3+(ROW(A6)-1)*$M$4))</f>
        <v/>
      </c>
      <c r="I9" s="283" t="str">
        <f>IF(INDEX(Predictions_2!$A$2:$AWV$3,2,$M$3+(ROW(A6)-1)*$M$4)="","",INDEX(Predictions_2!$A$2:$AWV$3,1,$M$3+(ROW(A6)-1)*$M$4))</f>
        <v/>
      </c>
      <c r="J9" s="281" t="str">
        <f t="shared" si="1"/>
        <v/>
      </c>
    </row>
    <row r="10" spans="2:13">
      <c r="B10" s="276">
        <v>7</v>
      </c>
      <c r="C10" s="277" t="str">
        <f t="shared" si="2"/>
        <v/>
      </c>
      <c r="D10" s="278" t="str">
        <f t="shared" si="3"/>
        <v/>
      </c>
      <c r="E10" s="26"/>
      <c r="F10" s="26"/>
      <c r="G10" s="281" t="str">
        <f t="shared" si="0"/>
        <v/>
      </c>
      <c r="H10" s="282" t="str">
        <f>IF(INDEX(Predictions_2!$A$2:$AWV$3,2,$M$3+(ROW(A7)-1)*$M$4)="","",INDEX(Predictions_2!$A$2:$AWV$3,2,$M$3+(ROW(A7)-1)*$M$4))</f>
        <v/>
      </c>
      <c r="I10" s="283" t="str">
        <f>IF(INDEX(Predictions_2!$A$2:$AWV$3,2,$M$3+(ROW(A7)-1)*$M$4)="","",INDEX(Predictions_2!$A$2:$AWV$3,1,$M$3+(ROW(A7)-1)*$M$4))</f>
        <v/>
      </c>
      <c r="J10" s="281" t="str">
        <f t="shared" si="1"/>
        <v/>
      </c>
    </row>
    <row r="11" spans="2:13">
      <c r="B11" s="280">
        <v>8</v>
      </c>
      <c r="C11" s="277" t="str">
        <f t="shared" si="2"/>
        <v/>
      </c>
      <c r="D11" s="278" t="str">
        <f t="shared" si="3"/>
        <v/>
      </c>
      <c r="E11" s="26"/>
      <c r="F11" s="26"/>
      <c r="G11" s="281" t="str">
        <f t="shared" si="0"/>
        <v/>
      </c>
      <c r="H11" s="282" t="str">
        <f>IF(INDEX(Predictions_2!$A$2:$AWV$3,2,$M$3+(ROW(A8)-1)*$M$4)="","",INDEX(Predictions_2!$A$2:$AWV$3,2,$M$3+(ROW(A8)-1)*$M$4))</f>
        <v/>
      </c>
      <c r="I11" s="283" t="str">
        <f>IF(INDEX(Predictions_2!$A$2:$AWV$3,2,$M$3+(ROW(A8)-1)*$M$4)="","",INDEX(Predictions_2!$A$2:$AWV$3,1,$M$3+(ROW(A8)-1)*$M$4))</f>
        <v/>
      </c>
      <c r="J11" s="281" t="str">
        <f t="shared" si="1"/>
        <v/>
      </c>
    </row>
    <row r="12" spans="2:13">
      <c r="B12" s="276">
        <v>9</v>
      </c>
      <c r="C12" s="277" t="str">
        <f t="shared" si="2"/>
        <v/>
      </c>
      <c r="D12" s="278" t="str">
        <f t="shared" si="3"/>
        <v/>
      </c>
      <c r="E12" s="26"/>
      <c r="F12" s="26"/>
      <c r="G12" s="281" t="str">
        <f t="shared" si="0"/>
        <v/>
      </c>
      <c r="H12" s="282" t="str">
        <f>IF(INDEX(Predictions_2!$A$2:$AWV$3,2,$M$3+(ROW(A9)-1)*$M$4)="","",INDEX(Predictions_2!$A$2:$AWV$3,2,$M$3+(ROW(A9)-1)*$M$4))</f>
        <v/>
      </c>
      <c r="I12" s="283" t="str">
        <f>IF(INDEX(Predictions_2!$A$2:$AWV$3,2,$M$3+(ROW(A9)-1)*$M$4)="","",INDEX(Predictions_2!$A$2:$AWV$3,1,$M$3+(ROW(A9)-1)*$M$4))</f>
        <v/>
      </c>
      <c r="J12" s="281" t="str">
        <f t="shared" si="1"/>
        <v/>
      </c>
    </row>
    <row r="13" spans="2:13">
      <c r="B13" s="280">
        <v>10</v>
      </c>
      <c r="C13" s="277" t="str">
        <f t="shared" si="2"/>
        <v/>
      </c>
      <c r="D13" s="278" t="str">
        <f t="shared" si="3"/>
        <v/>
      </c>
      <c r="E13" s="26"/>
      <c r="F13" s="26"/>
      <c r="G13" s="281" t="str">
        <f t="shared" si="0"/>
        <v/>
      </c>
      <c r="H13" s="282" t="str">
        <f>IF(INDEX(Predictions_2!$A$2:$AWV$3,2,$M$3+(ROW(A10)-1)*$M$4)="","",INDEX(Predictions_2!$A$2:$AWV$3,2,$M$3+(ROW(A10)-1)*$M$4))</f>
        <v/>
      </c>
      <c r="I13" s="283" t="str">
        <f>IF(INDEX(Predictions_2!$A$2:$AWV$3,2,$M$3+(ROW(A10)-1)*$M$4)="","",INDEX(Predictions_2!$A$2:$AWV$3,1,$M$3+(ROW(A10)-1)*$M$4))</f>
        <v/>
      </c>
      <c r="J13" s="281" t="str">
        <f t="shared" si="1"/>
        <v/>
      </c>
    </row>
    <row r="14" spans="2:13">
      <c r="B14" s="276">
        <v>11</v>
      </c>
      <c r="C14" s="277" t="str">
        <f t="shared" si="2"/>
        <v/>
      </c>
      <c r="D14" s="278" t="str">
        <f t="shared" si="3"/>
        <v/>
      </c>
      <c r="E14" s="26"/>
      <c r="F14" s="26"/>
      <c r="G14" s="281" t="str">
        <f t="shared" si="0"/>
        <v/>
      </c>
      <c r="H14" s="282" t="str">
        <f>IF(INDEX(Predictions_2!$A$2:$AWV$3,2,$M$3+(ROW(A11)-1)*$M$4)="","",INDEX(Predictions_2!$A$2:$AWV$3,2,$M$3+(ROW(A11)-1)*$M$4))</f>
        <v/>
      </c>
      <c r="I14" s="283" t="str">
        <f>IF(INDEX(Predictions_2!$A$2:$AWV$3,2,$M$3+(ROW(A11)-1)*$M$4)="","",INDEX(Predictions_2!$A$2:$AWV$3,1,$M$3+(ROW(A11)-1)*$M$4))</f>
        <v/>
      </c>
      <c r="J14" s="281" t="str">
        <f t="shared" si="1"/>
        <v/>
      </c>
    </row>
    <row r="15" spans="2:13">
      <c r="B15" s="280">
        <v>12</v>
      </c>
      <c r="C15" s="277" t="str">
        <f t="shared" si="2"/>
        <v/>
      </c>
      <c r="D15" s="278" t="str">
        <f t="shared" si="3"/>
        <v/>
      </c>
      <c r="E15" s="26"/>
      <c r="F15" s="26"/>
      <c r="G15" s="281" t="str">
        <f t="shared" si="0"/>
        <v/>
      </c>
      <c r="H15" s="282" t="str">
        <f>IF(INDEX(Predictions_2!$A$2:$AWV$3,2,$M$3+(ROW(A12)-1)*$M$4)="","",INDEX(Predictions_2!$A$2:$AWV$3,2,$M$3+(ROW(A12)-1)*$M$4))</f>
        <v/>
      </c>
      <c r="I15" s="283" t="str">
        <f>IF(INDEX(Predictions_2!$A$2:$AWV$3,2,$M$3+(ROW(A12)-1)*$M$4)="","",INDEX(Predictions_2!$A$2:$AWV$3,1,$M$3+(ROW(A12)-1)*$M$4))</f>
        <v/>
      </c>
      <c r="J15" s="281" t="str">
        <f t="shared" si="1"/>
        <v/>
      </c>
    </row>
    <row r="16" spans="2:13">
      <c r="B16" s="276">
        <v>13</v>
      </c>
      <c r="C16" s="277" t="str">
        <f t="shared" si="2"/>
        <v/>
      </c>
      <c r="D16" s="278" t="str">
        <f t="shared" si="3"/>
        <v/>
      </c>
      <c r="E16" s="26"/>
      <c r="F16" s="26"/>
      <c r="G16" s="281" t="str">
        <f t="shared" si="0"/>
        <v/>
      </c>
      <c r="H16" s="282" t="str">
        <f>IF(INDEX(Predictions_2!$A$2:$AWV$3,2,$M$3+(ROW(A13)-1)*$M$4)="","",INDEX(Predictions_2!$A$2:$AWV$3,2,$M$3+(ROW(A13)-1)*$M$4))</f>
        <v/>
      </c>
      <c r="I16" s="283" t="str">
        <f>IF(INDEX(Predictions_2!$A$2:$AWV$3,2,$M$3+(ROW(A13)-1)*$M$4)="","",INDEX(Predictions_2!$A$2:$AWV$3,1,$M$3+(ROW(A13)-1)*$M$4))</f>
        <v/>
      </c>
      <c r="J16" s="281" t="str">
        <f t="shared" si="1"/>
        <v/>
      </c>
    </row>
    <row r="17" spans="2:10">
      <c r="B17" s="280">
        <v>14</v>
      </c>
      <c r="C17" s="277" t="str">
        <f t="shared" si="2"/>
        <v/>
      </c>
      <c r="D17" s="278" t="str">
        <f t="shared" si="3"/>
        <v/>
      </c>
      <c r="E17" s="26"/>
      <c r="F17" s="26"/>
      <c r="G17" s="281" t="str">
        <f t="shared" si="0"/>
        <v/>
      </c>
      <c r="H17" s="282" t="str">
        <f>IF(INDEX(Predictions_2!$A$2:$AWV$3,2,$M$3+(ROW(A14)-1)*$M$4)="","",INDEX(Predictions_2!$A$2:$AWV$3,2,$M$3+(ROW(A14)-1)*$M$4))</f>
        <v/>
      </c>
      <c r="I17" s="283" t="str">
        <f>IF(INDEX(Predictions_2!$A$2:$AWV$3,2,$M$3+(ROW(A14)-1)*$M$4)="","",INDEX(Predictions_2!$A$2:$AWV$3,1,$M$3+(ROW(A14)-1)*$M$4))</f>
        <v/>
      </c>
      <c r="J17" s="281" t="str">
        <f t="shared" si="1"/>
        <v/>
      </c>
    </row>
    <row r="18" spans="2:10">
      <c r="B18" s="276">
        <v>15</v>
      </c>
      <c r="C18" s="277" t="str">
        <f t="shared" si="2"/>
        <v/>
      </c>
      <c r="D18" s="278" t="str">
        <f t="shared" si="3"/>
        <v/>
      </c>
      <c r="E18" s="26"/>
      <c r="F18" s="26"/>
      <c r="G18" s="281" t="str">
        <f t="shared" si="0"/>
        <v/>
      </c>
      <c r="H18" s="282" t="str">
        <f>IF(INDEX(Predictions_2!$A$2:$AWV$3,2,$M$3+(ROW(A15)-1)*$M$4)="","",INDEX(Predictions_2!$A$2:$AWV$3,2,$M$3+(ROW(A15)-1)*$M$4))</f>
        <v/>
      </c>
      <c r="I18" s="283" t="str">
        <f>IF(INDEX(Predictions_2!$A$2:$AWV$3,2,$M$3+(ROW(A15)-1)*$M$4)="","",INDEX(Predictions_2!$A$2:$AWV$3,1,$M$3+(ROW(A15)-1)*$M$4))</f>
        <v/>
      </c>
      <c r="J18" s="281" t="str">
        <f t="shared" si="1"/>
        <v/>
      </c>
    </row>
    <row r="19" spans="2:10">
      <c r="B19" s="280">
        <v>16</v>
      </c>
      <c r="C19" s="277" t="str">
        <f t="shared" si="2"/>
        <v/>
      </c>
      <c r="D19" s="278" t="str">
        <f t="shared" si="3"/>
        <v/>
      </c>
      <c r="E19" s="26"/>
      <c r="F19" s="26"/>
      <c r="G19" s="281" t="str">
        <f t="shared" si="0"/>
        <v/>
      </c>
      <c r="H19" s="282" t="str">
        <f>IF(INDEX(Predictions_2!$A$2:$AWV$3,2,$M$3+(ROW(A16)-1)*$M$4)="","",INDEX(Predictions_2!$A$2:$AWV$3,2,$M$3+(ROW(A16)-1)*$M$4))</f>
        <v/>
      </c>
      <c r="I19" s="283" t="str">
        <f>IF(INDEX(Predictions_2!$A$2:$AWV$3,2,$M$3+(ROW(A16)-1)*$M$4)="","",INDEX(Predictions_2!$A$2:$AWV$3,1,$M$3+(ROW(A16)-1)*$M$4))</f>
        <v/>
      </c>
      <c r="J19" s="281" t="str">
        <f t="shared" si="1"/>
        <v/>
      </c>
    </row>
    <row r="20" spans="2:10">
      <c r="B20" s="276">
        <v>17</v>
      </c>
      <c r="C20" s="277" t="str">
        <f t="shared" si="2"/>
        <v/>
      </c>
      <c r="D20" s="278" t="str">
        <f t="shared" si="3"/>
        <v/>
      </c>
      <c r="E20" s="26"/>
      <c r="F20" s="26"/>
      <c r="G20" s="281" t="str">
        <f t="shared" si="0"/>
        <v/>
      </c>
      <c r="H20" s="282" t="str">
        <f>IF(INDEX(Predictions_2!$A$2:$AWV$3,2,$M$3+(ROW(A17)-1)*$M$4)="","",INDEX(Predictions_2!$A$2:$AWV$3,2,$M$3+(ROW(A17)-1)*$M$4))</f>
        <v/>
      </c>
      <c r="I20" s="283" t="str">
        <f>IF(INDEX(Predictions_2!$A$2:$AWV$3,2,$M$3+(ROW(A17)-1)*$M$4)="","",INDEX(Predictions_2!$A$2:$AWV$3,1,$M$3+(ROW(A17)-1)*$M$4))</f>
        <v/>
      </c>
      <c r="J20" s="281" t="str">
        <f t="shared" si="1"/>
        <v/>
      </c>
    </row>
    <row r="21" spans="2:10">
      <c r="B21" s="280">
        <v>18</v>
      </c>
      <c r="C21" s="277" t="str">
        <f t="shared" si="2"/>
        <v/>
      </c>
      <c r="D21" s="278" t="str">
        <f t="shared" si="3"/>
        <v/>
      </c>
      <c r="E21" s="26"/>
      <c r="F21" s="26"/>
      <c r="G21" s="281" t="str">
        <f t="shared" si="0"/>
        <v/>
      </c>
      <c r="H21" s="282" t="str">
        <f>IF(INDEX(Predictions_2!$A$2:$AWV$3,2,$M$3+(ROW(A18)-1)*$M$4)="","",INDEX(Predictions_2!$A$2:$AWV$3,2,$M$3+(ROW(A18)-1)*$M$4))</f>
        <v/>
      </c>
      <c r="I21" s="283" t="str">
        <f>IF(INDEX(Predictions_2!$A$2:$AWV$3,2,$M$3+(ROW(A18)-1)*$M$4)="","",INDEX(Predictions_2!$A$2:$AWV$3,1,$M$3+(ROW(A18)-1)*$M$4))</f>
        <v/>
      </c>
      <c r="J21" s="281" t="str">
        <f t="shared" si="1"/>
        <v/>
      </c>
    </row>
    <row r="22" spans="2:10">
      <c r="B22" s="276">
        <v>19</v>
      </c>
      <c r="C22" s="277" t="str">
        <f t="shared" si="2"/>
        <v/>
      </c>
      <c r="D22" s="278" t="str">
        <f t="shared" si="3"/>
        <v/>
      </c>
      <c r="E22" s="26"/>
      <c r="F22" s="26"/>
      <c r="G22" s="281" t="str">
        <f t="shared" si="0"/>
        <v/>
      </c>
      <c r="H22" s="282" t="str">
        <f>IF(INDEX(Predictions_2!$A$2:$AWV$3,2,$M$3+(ROW(A19)-1)*$M$4)="","",INDEX(Predictions_2!$A$2:$AWV$3,2,$M$3+(ROW(A19)-1)*$M$4))</f>
        <v/>
      </c>
      <c r="I22" s="283" t="str">
        <f>IF(INDEX(Predictions_2!$A$2:$AWV$3,2,$M$3+(ROW(A19)-1)*$M$4)="","",INDEX(Predictions_2!$A$2:$AWV$3,1,$M$3+(ROW(A19)-1)*$M$4))</f>
        <v/>
      </c>
      <c r="J22" s="281" t="str">
        <f t="shared" si="1"/>
        <v/>
      </c>
    </row>
    <row r="23" spans="2:10">
      <c r="B23" s="280">
        <v>20</v>
      </c>
      <c r="C23" s="277" t="str">
        <f t="shared" si="2"/>
        <v/>
      </c>
      <c r="D23" s="278" t="str">
        <f t="shared" si="3"/>
        <v/>
      </c>
      <c r="E23" s="26"/>
      <c r="F23" s="26"/>
      <c r="G23" s="281" t="str">
        <f t="shared" si="0"/>
        <v/>
      </c>
      <c r="H23" s="282" t="str">
        <f>IF(INDEX(Predictions_2!$A$2:$AWV$3,2,$M$3+(ROW(A20)-1)*$M$4)="","",INDEX(Predictions_2!$A$2:$AWV$3,2,$M$3+(ROW(A20)-1)*$M$4))</f>
        <v/>
      </c>
      <c r="I23" s="283" t="str">
        <f>IF(INDEX(Predictions_2!$A$2:$AWV$3,2,$M$3+(ROW(A20)-1)*$M$4)="","",INDEX(Predictions_2!$A$2:$AWV$3,1,$M$3+(ROW(A20)-1)*$M$4))</f>
        <v/>
      </c>
      <c r="J23" s="281" t="str">
        <f t="shared" si="1"/>
        <v/>
      </c>
    </row>
    <row r="24" spans="2:10">
      <c r="B24" s="276">
        <v>21</v>
      </c>
      <c r="C24" s="277" t="str">
        <f t="shared" si="2"/>
        <v/>
      </c>
      <c r="D24" s="278" t="str">
        <f t="shared" si="3"/>
        <v/>
      </c>
      <c r="E24" s="26"/>
      <c r="F24" s="26"/>
      <c r="G24" s="281" t="str">
        <f t="shared" si="0"/>
        <v/>
      </c>
      <c r="H24" s="282" t="str">
        <f>IF(INDEX(Predictions_2!$A$2:$AWV$3,2,$M$3+(ROW(A21)-1)*$M$4)="","",INDEX(Predictions_2!$A$2:$AWV$3,2,$M$3+(ROW(A21)-1)*$M$4))</f>
        <v/>
      </c>
      <c r="I24" s="283" t="str">
        <f>IF(INDEX(Predictions_2!$A$2:$AWV$3,2,$M$3+(ROW(A21)-1)*$M$4)="","",INDEX(Predictions_2!$A$2:$AWV$3,1,$M$3+(ROW(A21)-1)*$M$4))</f>
        <v/>
      </c>
      <c r="J24" s="281" t="str">
        <f t="shared" si="1"/>
        <v/>
      </c>
    </row>
    <row r="25" spans="2:10">
      <c r="B25" s="280">
        <v>22</v>
      </c>
      <c r="C25" s="277" t="str">
        <f t="shared" si="2"/>
        <v/>
      </c>
      <c r="D25" s="278" t="str">
        <f t="shared" si="3"/>
        <v/>
      </c>
      <c r="E25" s="26"/>
      <c r="F25" s="26"/>
      <c r="G25" s="281" t="str">
        <f t="shared" si="0"/>
        <v/>
      </c>
      <c r="H25" s="282" t="str">
        <f>IF(INDEX(Predictions_2!$A$2:$AWV$3,2,$M$3+(ROW(A22)-1)*$M$4)="","",INDEX(Predictions_2!$A$2:$AWV$3,2,$M$3+(ROW(A22)-1)*$M$4))</f>
        <v/>
      </c>
      <c r="I25" s="283" t="str">
        <f>IF(INDEX(Predictions_2!$A$2:$AWV$3,2,$M$3+(ROW(A22)-1)*$M$4)="","",INDEX(Predictions_2!$A$2:$AWV$3,1,$M$3+(ROW(A22)-1)*$M$4))</f>
        <v/>
      </c>
      <c r="J25" s="281" t="str">
        <f t="shared" si="1"/>
        <v/>
      </c>
    </row>
    <row r="26" spans="2:10">
      <c r="B26" s="276">
        <v>23</v>
      </c>
      <c r="C26" s="277" t="str">
        <f t="shared" si="2"/>
        <v/>
      </c>
      <c r="D26" s="278" t="str">
        <f t="shared" si="3"/>
        <v/>
      </c>
      <c r="E26" s="26"/>
      <c r="F26" s="26"/>
      <c r="G26" s="281" t="str">
        <f t="shared" si="0"/>
        <v/>
      </c>
      <c r="H26" s="282" t="str">
        <f>IF(INDEX(Predictions_2!$A$2:$AWV$3,2,$M$3+(ROW(A23)-1)*$M$4)="","",INDEX(Predictions_2!$A$2:$AWV$3,2,$M$3+(ROW(A23)-1)*$M$4))</f>
        <v/>
      </c>
      <c r="I26" s="283" t="str">
        <f>IF(INDEX(Predictions_2!$A$2:$AWV$3,2,$M$3+(ROW(A23)-1)*$M$4)="","",INDEX(Predictions_2!$A$2:$AWV$3,1,$M$3+(ROW(A23)-1)*$M$4))</f>
        <v/>
      </c>
      <c r="J26" s="281" t="str">
        <f t="shared" si="1"/>
        <v/>
      </c>
    </row>
    <row r="27" spans="2:10">
      <c r="B27" s="280">
        <v>24</v>
      </c>
      <c r="C27" s="277" t="str">
        <f t="shared" si="2"/>
        <v/>
      </c>
      <c r="D27" s="278" t="str">
        <f t="shared" si="3"/>
        <v/>
      </c>
      <c r="E27" s="26"/>
      <c r="F27" s="26"/>
      <c r="G27" s="281" t="str">
        <f t="shared" si="0"/>
        <v/>
      </c>
      <c r="H27" s="282" t="str">
        <f>IF(INDEX(Predictions_2!$A$2:$AWV$3,2,$M$3+(ROW(A24)-1)*$M$4)="","",INDEX(Predictions_2!$A$2:$AWV$3,2,$M$3+(ROW(A24)-1)*$M$4))</f>
        <v/>
      </c>
      <c r="I27" s="283" t="str">
        <f>IF(INDEX(Predictions_2!$A$2:$AWV$3,2,$M$3+(ROW(A24)-1)*$M$4)="","",INDEX(Predictions_2!$A$2:$AWV$3,1,$M$3+(ROW(A24)-1)*$M$4))</f>
        <v/>
      </c>
      <c r="J27" s="281" t="str">
        <f t="shared" si="1"/>
        <v/>
      </c>
    </row>
    <row r="28" spans="2:10">
      <c r="B28" s="276">
        <v>25</v>
      </c>
      <c r="C28" s="277" t="str">
        <f t="shared" si="2"/>
        <v/>
      </c>
      <c r="D28" s="278" t="str">
        <f t="shared" si="3"/>
        <v/>
      </c>
      <c r="E28" s="26"/>
      <c r="F28" s="26"/>
      <c r="G28" s="281" t="str">
        <f t="shared" si="0"/>
        <v/>
      </c>
      <c r="H28" s="282" t="str">
        <f>IF(INDEX(Predictions_2!$A$2:$AWV$3,2,$M$3+(ROW(A25)-1)*$M$4)="","",INDEX(Predictions_2!$A$2:$AWV$3,2,$M$3+(ROW(A25)-1)*$M$4))</f>
        <v/>
      </c>
      <c r="I28" s="283" t="str">
        <f>IF(INDEX(Predictions_2!$A$2:$AWV$3,2,$M$3+(ROW(A25)-1)*$M$4)="","",INDEX(Predictions_2!$A$2:$AWV$3,1,$M$3+(ROW(A25)-1)*$M$4))</f>
        <v/>
      </c>
      <c r="J28" s="281" t="str">
        <f t="shared" si="1"/>
        <v/>
      </c>
    </row>
    <row r="29" spans="2:10">
      <c r="B29" s="280">
        <v>26</v>
      </c>
      <c r="C29" s="277" t="str">
        <f t="shared" si="2"/>
        <v/>
      </c>
      <c r="D29" s="278" t="str">
        <f t="shared" si="3"/>
        <v/>
      </c>
      <c r="E29" s="26"/>
      <c r="F29" s="26"/>
      <c r="G29" s="281" t="str">
        <f t="shared" si="0"/>
        <v/>
      </c>
      <c r="H29" s="282" t="str">
        <f>IF(INDEX(Predictions_2!$A$2:$AWV$3,2,$M$3+(ROW(A26)-1)*$M$4)="","",INDEX(Predictions_2!$A$2:$AWV$3,2,$M$3+(ROW(A26)-1)*$M$4))</f>
        <v/>
      </c>
      <c r="I29" s="283" t="str">
        <f>IF(INDEX(Predictions_2!$A$2:$AWV$3,2,$M$3+(ROW(A26)-1)*$M$4)="","",INDEX(Predictions_2!$A$2:$AWV$3,1,$M$3+(ROW(A26)-1)*$M$4))</f>
        <v/>
      </c>
      <c r="J29" s="281" t="str">
        <f t="shared" si="1"/>
        <v/>
      </c>
    </row>
    <row r="30" spans="2:10">
      <c r="B30" s="276">
        <v>27</v>
      </c>
      <c r="C30" s="277" t="str">
        <f t="shared" si="2"/>
        <v/>
      </c>
      <c r="D30" s="278" t="str">
        <f t="shared" si="3"/>
        <v/>
      </c>
      <c r="E30" s="26"/>
      <c r="F30" s="26"/>
      <c r="G30" s="281" t="str">
        <f t="shared" si="0"/>
        <v/>
      </c>
      <c r="H30" s="282" t="str">
        <f>IF(INDEX(Predictions_2!$A$2:$AWV$3,2,$M$3+(ROW(A27)-1)*$M$4)="","",INDEX(Predictions_2!$A$2:$AWV$3,2,$M$3+(ROW(A27)-1)*$M$4))</f>
        <v/>
      </c>
      <c r="I30" s="283" t="str">
        <f>IF(INDEX(Predictions_2!$A$2:$AWV$3,2,$M$3+(ROW(A27)-1)*$M$4)="","",INDEX(Predictions_2!$A$2:$AWV$3,1,$M$3+(ROW(A27)-1)*$M$4))</f>
        <v/>
      </c>
      <c r="J30" s="281" t="str">
        <f t="shared" si="1"/>
        <v/>
      </c>
    </row>
    <row r="31" spans="2:10">
      <c r="B31" s="280">
        <v>28</v>
      </c>
      <c r="C31" s="277" t="str">
        <f t="shared" si="2"/>
        <v/>
      </c>
      <c r="D31" s="278" t="str">
        <f t="shared" si="3"/>
        <v/>
      </c>
      <c r="E31" s="26"/>
      <c r="F31" s="26"/>
      <c r="G31" s="281" t="str">
        <f t="shared" si="0"/>
        <v/>
      </c>
      <c r="H31" s="282" t="str">
        <f>IF(INDEX(Predictions_2!$A$2:$AWV$3,2,$M$3+(ROW(A28)-1)*$M$4)="","",INDEX(Predictions_2!$A$2:$AWV$3,2,$M$3+(ROW(A28)-1)*$M$4))</f>
        <v/>
      </c>
      <c r="I31" s="283" t="str">
        <f>IF(INDEX(Predictions_2!$A$2:$AWV$3,2,$M$3+(ROW(A28)-1)*$M$4)="","",INDEX(Predictions_2!$A$2:$AWV$3,1,$M$3+(ROW(A28)-1)*$M$4))</f>
        <v/>
      </c>
      <c r="J31" s="281" t="str">
        <f t="shared" si="1"/>
        <v/>
      </c>
    </row>
    <row r="32" spans="2:10">
      <c r="B32" s="276">
        <v>29</v>
      </c>
      <c r="C32" s="277" t="str">
        <f t="shared" si="2"/>
        <v/>
      </c>
      <c r="D32" s="278" t="str">
        <f t="shared" si="3"/>
        <v/>
      </c>
      <c r="E32" s="26"/>
      <c r="F32" s="26"/>
      <c r="G32" s="281" t="str">
        <f t="shared" si="0"/>
        <v/>
      </c>
      <c r="H32" s="282" t="str">
        <f>IF(INDEX(Predictions_2!$A$2:$AWV$3,2,$M$3+(ROW(A29)-1)*$M$4)="","",INDEX(Predictions_2!$A$2:$AWV$3,2,$M$3+(ROW(A29)-1)*$M$4))</f>
        <v/>
      </c>
      <c r="I32" s="283" t="str">
        <f>IF(INDEX(Predictions_2!$A$2:$AWV$3,2,$M$3+(ROW(A29)-1)*$M$4)="","",INDEX(Predictions_2!$A$2:$AWV$3,1,$M$3+(ROW(A29)-1)*$M$4))</f>
        <v/>
      </c>
      <c r="J32" s="281" t="str">
        <f t="shared" si="1"/>
        <v/>
      </c>
    </row>
    <row r="33" spans="2:10">
      <c r="B33" s="276">
        <v>30</v>
      </c>
      <c r="C33" s="277" t="str">
        <f t="shared" si="2"/>
        <v/>
      </c>
      <c r="D33" s="278" t="str">
        <f t="shared" si="3"/>
        <v/>
      </c>
      <c r="E33" s="26"/>
      <c r="F33" s="26"/>
      <c r="G33" s="281" t="str">
        <f t="shared" si="0"/>
        <v/>
      </c>
      <c r="H33" s="282" t="str">
        <f>IF(INDEX(Predictions_2!$A$2:$AWV$3,2,$M$3+(ROW(A30)-1)*$M$4)="","",INDEX(Predictions_2!$A$2:$AWV$3,2,$M$3+(ROW(A30)-1)*$M$4))</f>
        <v/>
      </c>
      <c r="I33" s="283" t="str">
        <f>IF(INDEX(Predictions_2!$A$2:$AWV$3,2,$M$3+(ROW(A30)-1)*$M$4)="","",INDEX(Predictions_2!$A$2:$AWV$3,1,$M$3+(ROW(A30)-1)*$M$4))</f>
        <v/>
      </c>
      <c r="J33" s="281" t="str">
        <f t="shared" si="1"/>
        <v/>
      </c>
    </row>
    <row r="34" spans="2:10">
      <c r="B34" s="276">
        <v>31</v>
      </c>
      <c r="C34" s="277" t="str">
        <f t="shared" si="2"/>
        <v/>
      </c>
      <c r="D34" s="278" t="str">
        <f t="shared" si="3"/>
        <v/>
      </c>
      <c r="E34" s="26"/>
      <c r="F34" s="26"/>
      <c r="G34" s="281" t="str">
        <f t="shared" si="0"/>
        <v/>
      </c>
      <c r="H34" s="282" t="str">
        <f>IF(INDEX(Predictions_2!$A$2:$AWV$3,2,$M$3+(ROW(A31)-1)*$M$4)="","",INDEX(Predictions_2!$A$2:$AWV$3,2,$M$3+(ROW(A31)-1)*$M$4))</f>
        <v/>
      </c>
      <c r="I34" s="283" t="str">
        <f>IF(INDEX(Predictions_2!$A$2:$AWV$3,2,$M$3+(ROW(A31)-1)*$M$4)="","",INDEX(Predictions_2!$A$2:$AWV$3,1,$M$3+(ROW(A31)-1)*$M$4))</f>
        <v/>
      </c>
      <c r="J34" s="281" t="str">
        <f t="shared" si="1"/>
        <v/>
      </c>
    </row>
    <row r="35" spans="2:10">
      <c r="B35" s="276">
        <v>32</v>
      </c>
      <c r="C35" s="277" t="str">
        <f t="shared" si="2"/>
        <v/>
      </c>
      <c r="D35" s="278" t="str">
        <f t="shared" si="3"/>
        <v/>
      </c>
      <c r="E35" s="26"/>
      <c r="F35" s="26"/>
      <c r="G35" s="281" t="str">
        <f t="shared" si="0"/>
        <v/>
      </c>
      <c r="H35" s="282" t="str">
        <f>IF(INDEX(Predictions_2!$A$2:$AWV$3,2,$M$3+(ROW(A32)-1)*$M$4)="","",INDEX(Predictions_2!$A$2:$AWV$3,2,$M$3+(ROW(A32)-1)*$M$4))</f>
        <v/>
      </c>
      <c r="I35" s="283" t="str">
        <f>IF(INDEX(Predictions_2!$A$2:$AWV$3,2,$M$3+(ROW(A32)-1)*$M$4)="","",INDEX(Predictions_2!$A$2:$AWV$3,1,$M$3+(ROW(A32)-1)*$M$4))</f>
        <v/>
      </c>
      <c r="J35" s="281" t="str">
        <f t="shared" si="1"/>
        <v/>
      </c>
    </row>
    <row r="36" spans="2:10">
      <c r="B36" s="276">
        <v>33</v>
      </c>
      <c r="C36" s="277" t="str">
        <f t="shared" si="2"/>
        <v/>
      </c>
      <c r="D36" s="278" t="str">
        <f t="shared" si="3"/>
        <v/>
      </c>
      <c r="E36" s="26"/>
      <c r="F36" s="26"/>
      <c r="G36" s="281" t="str">
        <f t="shared" ref="G36:G67" si="4">IF(J36="","",RANK(J36,$J$4:$J$103,1))</f>
        <v/>
      </c>
      <c r="H36" s="282" t="str">
        <f>IF(INDEX(Predictions_2!$A$2:$AWV$3,2,$M$3+(ROW(A33)-1)*$M$4)="","",INDEX(Predictions_2!$A$2:$AWV$3,2,$M$3+(ROW(A33)-1)*$M$4))</f>
        <v/>
      </c>
      <c r="I36" s="283" t="str">
        <f>IF(INDEX(Predictions_2!$A$2:$AWV$3,2,$M$3+(ROW(A33)-1)*$M$4)="","",INDEX(Predictions_2!$A$2:$AWV$3,1,$M$3+(ROW(A33)-1)*$M$4))</f>
        <v/>
      </c>
      <c r="J36" s="281" t="str">
        <f t="shared" ref="J36:J67" si="5">IF(I36="","",RANK(I36,$I$4:$I$103,0)+ROW()*0.001)</f>
        <v/>
      </c>
    </row>
    <row r="37" spans="2:10">
      <c r="B37" s="276">
        <v>34</v>
      </c>
      <c r="C37" s="277" t="str">
        <f t="shared" si="2"/>
        <v/>
      </c>
      <c r="D37" s="278" t="str">
        <f t="shared" si="3"/>
        <v/>
      </c>
      <c r="E37" s="26"/>
      <c r="F37" s="26"/>
      <c r="G37" s="281" t="str">
        <f t="shared" si="4"/>
        <v/>
      </c>
      <c r="H37" s="282" t="str">
        <f>IF(INDEX(Predictions_2!$A$2:$AWV$3,2,$M$3+(ROW(A34)-1)*$M$4)="","",INDEX(Predictions_2!$A$2:$AWV$3,2,$M$3+(ROW(A34)-1)*$M$4))</f>
        <v/>
      </c>
      <c r="I37" s="283" t="str">
        <f>IF(INDEX(Predictions_2!$A$2:$AWV$3,2,$M$3+(ROW(A34)-1)*$M$4)="","",INDEX(Predictions_2!$A$2:$AWV$3,1,$M$3+(ROW(A34)-1)*$M$4))</f>
        <v/>
      </c>
      <c r="J37" s="281" t="str">
        <f t="shared" si="5"/>
        <v/>
      </c>
    </row>
    <row r="38" spans="2:10">
      <c r="B38" s="276">
        <v>35</v>
      </c>
      <c r="C38" s="277" t="str">
        <f t="shared" si="2"/>
        <v/>
      </c>
      <c r="D38" s="278" t="str">
        <f t="shared" si="3"/>
        <v/>
      </c>
      <c r="E38" s="26"/>
      <c r="F38" s="26"/>
      <c r="G38" s="281" t="str">
        <f t="shared" si="4"/>
        <v/>
      </c>
      <c r="H38" s="282" t="str">
        <f>IF(INDEX(Predictions_2!$A$2:$AWV$3,2,$M$3+(ROW(A35)-1)*$M$4)="","",INDEX(Predictions_2!$A$2:$AWV$3,2,$M$3+(ROW(A35)-1)*$M$4))</f>
        <v/>
      </c>
      <c r="I38" s="283" t="str">
        <f>IF(INDEX(Predictions_2!$A$2:$AWV$3,2,$M$3+(ROW(A35)-1)*$M$4)="","",INDEX(Predictions_2!$A$2:$AWV$3,1,$M$3+(ROW(A35)-1)*$M$4))</f>
        <v/>
      </c>
      <c r="J38" s="281" t="str">
        <f t="shared" si="5"/>
        <v/>
      </c>
    </row>
    <row r="39" spans="2:10">
      <c r="B39" s="276">
        <v>36</v>
      </c>
      <c r="C39" s="277" t="str">
        <f t="shared" si="2"/>
        <v/>
      </c>
      <c r="D39" s="278" t="str">
        <f t="shared" si="3"/>
        <v/>
      </c>
      <c r="E39" s="26"/>
      <c r="F39" s="26"/>
      <c r="G39" s="281" t="str">
        <f t="shared" si="4"/>
        <v/>
      </c>
      <c r="H39" s="282" t="str">
        <f>IF(INDEX(Predictions_2!$A$2:$AWV$3,2,$M$3+(ROW(A36)-1)*$M$4)="","",INDEX(Predictions_2!$A$2:$AWV$3,2,$M$3+(ROW(A36)-1)*$M$4))</f>
        <v/>
      </c>
      <c r="I39" s="283" t="str">
        <f>IF(INDEX(Predictions_2!$A$2:$AWV$3,2,$M$3+(ROW(A36)-1)*$M$4)="","",INDEX(Predictions_2!$A$2:$AWV$3,1,$M$3+(ROW(A36)-1)*$M$4))</f>
        <v/>
      </c>
      <c r="J39" s="281" t="str">
        <f t="shared" si="5"/>
        <v/>
      </c>
    </row>
    <row r="40" spans="2:10">
      <c r="B40" s="276">
        <v>37</v>
      </c>
      <c r="C40" s="277" t="str">
        <f t="shared" si="2"/>
        <v/>
      </c>
      <c r="D40" s="278" t="str">
        <f t="shared" si="3"/>
        <v/>
      </c>
      <c r="E40" s="26"/>
      <c r="F40" s="26"/>
      <c r="G40" s="281" t="str">
        <f t="shared" si="4"/>
        <v/>
      </c>
      <c r="H40" s="282" t="str">
        <f>IF(INDEX(Predictions_2!$A$2:$AWV$3,2,$M$3+(ROW(A37)-1)*$M$4)="","",INDEX(Predictions_2!$A$2:$AWV$3,2,$M$3+(ROW(A37)-1)*$M$4))</f>
        <v/>
      </c>
      <c r="I40" s="283" t="str">
        <f>IF(INDEX(Predictions_2!$A$2:$AWV$3,2,$M$3+(ROW(A37)-1)*$M$4)="","",INDEX(Predictions_2!$A$2:$AWV$3,1,$M$3+(ROW(A37)-1)*$M$4))</f>
        <v/>
      </c>
      <c r="J40" s="281" t="str">
        <f t="shared" si="5"/>
        <v/>
      </c>
    </row>
    <row r="41" spans="2:10">
      <c r="B41" s="276">
        <v>38</v>
      </c>
      <c r="C41" s="277" t="str">
        <f t="shared" si="2"/>
        <v/>
      </c>
      <c r="D41" s="278" t="str">
        <f t="shared" si="3"/>
        <v/>
      </c>
      <c r="E41" s="26"/>
      <c r="F41" s="26"/>
      <c r="G41" s="281" t="str">
        <f t="shared" si="4"/>
        <v/>
      </c>
      <c r="H41" s="282" t="str">
        <f>IF(INDEX(Predictions_2!$A$2:$AWV$3,2,$M$3+(ROW(A38)-1)*$M$4)="","",INDEX(Predictions_2!$A$2:$AWV$3,2,$M$3+(ROW(A38)-1)*$M$4))</f>
        <v/>
      </c>
      <c r="I41" s="283" t="str">
        <f>IF(INDEX(Predictions_2!$A$2:$AWV$3,2,$M$3+(ROW(A38)-1)*$M$4)="","",INDEX(Predictions_2!$A$2:$AWV$3,1,$M$3+(ROW(A38)-1)*$M$4))</f>
        <v/>
      </c>
      <c r="J41" s="281" t="str">
        <f t="shared" si="5"/>
        <v/>
      </c>
    </row>
    <row r="42" spans="2:10">
      <c r="B42" s="276">
        <v>39</v>
      </c>
      <c r="C42" s="277" t="str">
        <f t="shared" si="2"/>
        <v/>
      </c>
      <c r="D42" s="278" t="str">
        <f t="shared" si="3"/>
        <v/>
      </c>
      <c r="E42" s="26"/>
      <c r="F42" s="26"/>
      <c r="G42" s="281" t="str">
        <f t="shared" si="4"/>
        <v/>
      </c>
      <c r="H42" s="282" t="str">
        <f>IF(INDEX(Predictions_2!$A$2:$AWV$3,2,$M$3+(ROW(A39)-1)*$M$4)="","",INDEX(Predictions_2!$A$2:$AWV$3,2,$M$3+(ROW(A39)-1)*$M$4))</f>
        <v/>
      </c>
      <c r="I42" s="283" t="str">
        <f>IF(INDEX(Predictions_2!$A$2:$AWV$3,2,$M$3+(ROW(A39)-1)*$M$4)="","",INDEX(Predictions_2!$A$2:$AWV$3,1,$M$3+(ROW(A39)-1)*$M$4))</f>
        <v/>
      </c>
      <c r="J42" s="281" t="str">
        <f t="shared" si="5"/>
        <v/>
      </c>
    </row>
    <row r="43" spans="2:10">
      <c r="B43" s="276">
        <v>40</v>
      </c>
      <c r="C43" s="277" t="str">
        <f t="shared" si="2"/>
        <v/>
      </c>
      <c r="D43" s="278" t="str">
        <f t="shared" si="3"/>
        <v/>
      </c>
      <c r="E43" s="26"/>
      <c r="F43" s="26"/>
      <c r="G43" s="281" t="str">
        <f t="shared" si="4"/>
        <v/>
      </c>
      <c r="H43" s="282" t="str">
        <f>IF(INDEX(Predictions_2!$A$2:$AWV$3,2,$M$3+(ROW(A40)-1)*$M$4)="","",INDEX(Predictions_2!$A$2:$AWV$3,2,$M$3+(ROW(A40)-1)*$M$4))</f>
        <v/>
      </c>
      <c r="I43" s="283" t="str">
        <f>IF(INDEX(Predictions_2!$A$2:$AWV$3,2,$M$3+(ROW(A40)-1)*$M$4)="","",INDEX(Predictions_2!$A$2:$AWV$3,1,$M$3+(ROW(A40)-1)*$M$4))</f>
        <v/>
      </c>
      <c r="J43" s="281" t="str">
        <f t="shared" si="5"/>
        <v/>
      </c>
    </row>
    <row r="44" spans="2:10">
      <c r="B44" s="276">
        <v>41</v>
      </c>
      <c r="C44" s="277" t="str">
        <f t="shared" si="2"/>
        <v/>
      </c>
      <c r="D44" s="278" t="str">
        <f t="shared" si="3"/>
        <v/>
      </c>
      <c r="E44" s="26"/>
      <c r="F44" s="26"/>
      <c r="G44" s="281" t="str">
        <f t="shared" si="4"/>
        <v/>
      </c>
      <c r="H44" s="282" t="str">
        <f>IF(INDEX(Predictions_2!$A$2:$AWV$3,2,$M$3+(ROW(A41)-1)*$M$4)="","",INDEX(Predictions_2!$A$2:$AWV$3,2,$M$3+(ROW(A41)-1)*$M$4))</f>
        <v/>
      </c>
      <c r="I44" s="283" t="str">
        <f>IF(INDEX(Predictions_2!$A$2:$AWV$3,2,$M$3+(ROW(A41)-1)*$M$4)="","",INDEX(Predictions_2!$A$2:$AWV$3,1,$M$3+(ROW(A41)-1)*$M$4))</f>
        <v/>
      </c>
      <c r="J44" s="281" t="str">
        <f t="shared" si="5"/>
        <v/>
      </c>
    </row>
    <row r="45" spans="2:10">
      <c r="B45" s="276">
        <v>42</v>
      </c>
      <c r="C45" s="277" t="str">
        <f t="shared" si="2"/>
        <v/>
      </c>
      <c r="D45" s="278" t="str">
        <f t="shared" si="3"/>
        <v/>
      </c>
      <c r="E45" s="26"/>
      <c r="F45" s="26"/>
      <c r="G45" s="281" t="str">
        <f t="shared" si="4"/>
        <v/>
      </c>
      <c r="H45" s="282" t="str">
        <f>IF(INDEX(Predictions_2!$A$2:$AWV$3,2,$M$3+(ROW(A42)-1)*$M$4)="","",INDEX(Predictions_2!$A$2:$AWV$3,2,$M$3+(ROW(A42)-1)*$M$4))</f>
        <v/>
      </c>
      <c r="I45" s="283" t="str">
        <f>IF(INDEX(Predictions_2!$A$2:$AWV$3,2,$M$3+(ROW(A42)-1)*$M$4)="","",INDEX(Predictions_2!$A$2:$AWV$3,1,$M$3+(ROW(A42)-1)*$M$4))</f>
        <v/>
      </c>
      <c r="J45" s="281" t="str">
        <f t="shared" si="5"/>
        <v/>
      </c>
    </row>
    <row r="46" spans="2:10">
      <c r="B46" s="276">
        <v>43</v>
      </c>
      <c r="C46" s="277" t="str">
        <f t="shared" si="2"/>
        <v/>
      </c>
      <c r="D46" s="278" t="str">
        <f t="shared" si="3"/>
        <v/>
      </c>
      <c r="E46" s="26"/>
      <c r="F46" s="26"/>
      <c r="G46" s="281" t="str">
        <f t="shared" si="4"/>
        <v/>
      </c>
      <c r="H46" s="282" t="str">
        <f>IF(INDEX(Predictions_2!$A$2:$AWV$3,2,$M$3+(ROW(A43)-1)*$M$4)="","",INDEX(Predictions_2!$A$2:$AWV$3,2,$M$3+(ROW(A43)-1)*$M$4))</f>
        <v/>
      </c>
      <c r="I46" s="283" t="str">
        <f>IF(INDEX(Predictions_2!$A$2:$AWV$3,2,$M$3+(ROW(A43)-1)*$M$4)="","",INDEX(Predictions_2!$A$2:$AWV$3,1,$M$3+(ROW(A43)-1)*$M$4))</f>
        <v/>
      </c>
      <c r="J46" s="281" t="str">
        <f t="shared" si="5"/>
        <v/>
      </c>
    </row>
    <row r="47" spans="2:10">
      <c r="B47" s="276">
        <v>44</v>
      </c>
      <c r="C47" s="277" t="str">
        <f t="shared" si="2"/>
        <v/>
      </c>
      <c r="D47" s="278" t="str">
        <f t="shared" si="3"/>
        <v/>
      </c>
      <c r="E47" s="26"/>
      <c r="F47" s="26"/>
      <c r="G47" s="281" t="str">
        <f t="shared" si="4"/>
        <v/>
      </c>
      <c r="H47" s="282" t="str">
        <f>IF(INDEX(Predictions_2!$A$2:$AWV$3,2,$M$3+(ROW(A44)-1)*$M$4)="","",INDEX(Predictions_2!$A$2:$AWV$3,2,$M$3+(ROW(A44)-1)*$M$4))</f>
        <v/>
      </c>
      <c r="I47" s="283" t="str">
        <f>IF(INDEX(Predictions_2!$A$2:$AWV$3,2,$M$3+(ROW(A44)-1)*$M$4)="","",INDEX(Predictions_2!$A$2:$AWV$3,1,$M$3+(ROW(A44)-1)*$M$4))</f>
        <v/>
      </c>
      <c r="J47" s="281" t="str">
        <f t="shared" si="5"/>
        <v/>
      </c>
    </row>
    <row r="48" spans="2:10">
      <c r="B48" s="276">
        <v>45</v>
      </c>
      <c r="C48" s="277" t="str">
        <f t="shared" si="2"/>
        <v/>
      </c>
      <c r="D48" s="278" t="str">
        <f t="shared" si="3"/>
        <v/>
      </c>
      <c r="E48" s="26"/>
      <c r="F48" s="26"/>
      <c r="G48" s="281" t="str">
        <f t="shared" si="4"/>
        <v/>
      </c>
      <c r="H48" s="282" t="str">
        <f>IF(INDEX(Predictions_2!$A$2:$AWV$3,2,$M$3+(ROW(A45)-1)*$M$4)="","",INDEX(Predictions_2!$A$2:$AWV$3,2,$M$3+(ROW(A45)-1)*$M$4))</f>
        <v/>
      </c>
      <c r="I48" s="283" t="str">
        <f>IF(INDEX(Predictions_2!$A$2:$AWV$3,2,$M$3+(ROW(A45)-1)*$M$4)="","",INDEX(Predictions_2!$A$2:$AWV$3,1,$M$3+(ROW(A45)-1)*$M$4))</f>
        <v/>
      </c>
      <c r="J48" s="281" t="str">
        <f t="shared" si="5"/>
        <v/>
      </c>
    </row>
    <row r="49" spans="2:10">
      <c r="B49" s="276">
        <v>46</v>
      </c>
      <c r="C49" s="277" t="str">
        <f t="shared" si="2"/>
        <v/>
      </c>
      <c r="D49" s="278" t="str">
        <f t="shared" si="3"/>
        <v/>
      </c>
      <c r="E49" s="26"/>
      <c r="F49" s="26"/>
      <c r="G49" s="281" t="str">
        <f t="shared" si="4"/>
        <v/>
      </c>
      <c r="H49" s="282" t="str">
        <f>IF(INDEX(Predictions_2!$A$2:$AWV$3,2,$M$3+(ROW(A46)-1)*$M$4)="","",INDEX(Predictions_2!$A$2:$AWV$3,2,$M$3+(ROW(A46)-1)*$M$4))</f>
        <v/>
      </c>
      <c r="I49" s="283" t="str">
        <f>IF(INDEX(Predictions_2!$A$2:$AWV$3,2,$M$3+(ROW(A46)-1)*$M$4)="","",INDEX(Predictions_2!$A$2:$AWV$3,1,$M$3+(ROW(A46)-1)*$M$4))</f>
        <v/>
      </c>
      <c r="J49" s="281" t="str">
        <f t="shared" si="5"/>
        <v/>
      </c>
    </row>
    <row r="50" spans="2:10">
      <c r="B50" s="276">
        <v>47</v>
      </c>
      <c r="C50" s="277" t="str">
        <f t="shared" si="2"/>
        <v/>
      </c>
      <c r="D50" s="278" t="str">
        <f t="shared" si="3"/>
        <v/>
      </c>
      <c r="E50" s="26"/>
      <c r="F50" s="26"/>
      <c r="G50" s="281" t="str">
        <f t="shared" si="4"/>
        <v/>
      </c>
      <c r="H50" s="282" t="str">
        <f>IF(INDEX(Predictions_2!$A$2:$AWV$3,2,$M$3+(ROW(A47)-1)*$M$4)="","",INDEX(Predictions_2!$A$2:$AWV$3,2,$M$3+(ROW(A47)-1)*$M$4))</f>
        <v/>
      </c>
      <c r="I50" s="283" t="str">
        <f>IF(INDEX(Predictions_2!$A$2:$AWV$3,2,$M$3+(ROW(A47)-1)*$M$4)="","",INDEX(Predictions_2!$A$2:$AWV$3,1,$M$3+(ROW(A47)-1)*$M$4))</f>
        <v/>
      </c>
      <c r="J50" s="281" t="str">
        <f t="shared" si="5"/>
        <v/>
      </c>
    </row>
    <row r="51" spans="2:10">
      <c r="B51" s="276">
        <v>48</v>
      </c>
      <c r="C51" s="277" t="str">
        <f t="shared" si="2"/>
        <v/>
      </c>
      <c r="D51" s="278" t="str">
        <f t="shared" si="3"/>
        <v/>
      </c>
      <c r="E51" s="26"/>
      <c r="F51" s="26"/>
      <c r="G51" s="281" t="str">
        <f t="shared" si="4"/>
        <v/>
      </c>
      <c r="H51" s="282" t="str">
        <f>IF(INDEX(Predictions_2!$A$2:$AWV$3,2,$M$3+(ROW(A48)-1)*$M$4)="","",INDEX(Predictions_2!$A$2:$AWV$3,2,$M$3+(ROW(A48)-1)*$M$4))</f>
        <v/>
      </c>
      <c r="I51" s="283" t="str">
        <f>IF(INDEX(Predictions_2!$A$2:$AWV$3,2,$M$3+(ROW(A48)-1)*$M$4)="","",INDEX(Predictions_2!$A$2:$AWV$3,1,$M$3+(ROW(A48)-1)*$M$4))</f>
        <v/>
      </c>
      <c r="J51" s="281" t="str">
        <f t="shared" si="5"/>
        <v/>
      </c>
    </row>
    <row r="52" spans="2:10">
      <c r="B52" s="276">
        <v>49</v>
      </c>
      <c r="C52" s="277" t="str">
        <f t="shared" si="2"/>
        <v/>
      </c>
      <c r="D52" s="278" t="str">
        <f t="shared" si="3"/>
        <v/>
      </c>
      <c r="E52" s="26"/>
      <c r="F52" s="26"/>
      <c r="G52" s="281" t="str">
        <f t="shared" si="4"/>
        <v/>
      </c>
      <c r="H52" s="282" t="str">
        <f>IF(INDEX(Predictions_2!$A$2:$AWV$3,2,$M$3+(ROW(A49)-1)*$M$4)="","",INDEX(Predictions_2!$A$2:$AWV$3,2,$M$3+(ROW(A49)-1)*$M$4))</f>
        <v/>
      </c>
      <c r="I52" s="283" t="str">
        <f>IF(INDEX(Predictions_2!$A$2:$AWV$3,2,$M$3+(ROW(A49)-1)*$M$4)="","",INDEX(Predictions_2!$A$2:$AWV$3,1,$M$3+(ROW(A49)-1)*$M$4))</f>
        <v/>
      </c>
      <c r="J52" s="281" t="str">
        <f t="shared" si="5"/>
        <v/>
      </c>
    </row>
    <row r="53" spans="2:10">
      <c r="B53" s="276">
        <v>50</v>
      </c>
      <c r="C53" s="277" t="str">
        <f t="shared" si="2"/>
        <v/>
      </c>
      <c r="D53" s="278" t="str">
        <f t="shared" si="3"/>
        <v/>
      </c>
      <c r="E53" s="26"/>
      <c r="F53" s="26"/>
      <c r="G53" s="281" t="str">
        <f t="shared" si="4"/>
        <v/>
      </c>
      <c r="H53" s="282" t="str">
        <f>IF(INDEX(Predictions_2!$A$2:$AWV$3,2,$M$3+(ROW(A50)-1)*$M$4)="","",INDEX(Predictions_2!$A$2:$AWV$3,2,$M$3+(ROW(A50)-1)*$M$4))</f>
        <v/>
      </c>
      <c r="I53" s="283" t="str">
        <f>IF(INDEX(Predictions_2!$A$2:$AWV$3,2,$M$3+(ROW(A50)-1)*$M$4)="","",INDEX(Predictions_2!$A$2:$AWV$3,1,$M$3+(ROW(A50)-1)*$M$4))</f>
        <v/>
      </c>
      <c r="J53" s="281" t="str">
        <f t="shared" si="5"/>
        <v/>
      </c>
    </row>
    <row r="54" spans="2:10">
      <c r="B54" s="276">
        <v>51</v>
      </c>
      <c r="C54" s="277" t="str">
        <f t="shared" si="2"/>
        <v/>
      </c>
      <c r="D54" s="278" t="str">
        <f t="shared" si="3"/>
        <v/>
      </c>
      <c r="E54" s="26"/>
      <c r="F54" s="26"/>
      <c r="G54" s="281" t="str">
        <f t="shared" si="4"/>
        <v/>
      </c>
      <c r="H54" s="282" t="str">
        <f>IF(INDEX(Predictions_2!$A$2:$AWV$3,2,$M$3+(ROW(A51)-1)*$M$4)="","",INDEX(Predictions_2!$A$2:$AWV$3,2,$M$3+(ROW(A51)-1)*$M$4))</f>
        <v/>
      </c>
      <c r="I54" s="283" t="str">
        <f>IF(INDEX(Predictions_2!$A$2:$AWV$3,2,$M$3+(ROW(A51)-1)*$M$4)="","",INDEX(Predictions_2!$A$2:$AWV$3,1,$M$3+(ROW(A51)-1)*$M$4))</f>
        <v/>
      </c>
      <c r="J54" s="281" t="str">
        <f t="shared" si="5"/>
        <v/>
      </c>
    </row>
    <row r="55" spans="2:10">
      <c r="B55" s="276">
        <v>52</v>
      </c>
      <c r="C55" s="277" t="str">
        <f t="shared" si="2"/>
        <v/>
      </c>
      <c r="D55" s="278" t="str">
        <f t="shared" si="3"/>
        <v/>
      </c>
      <c r="E55" s="26"/>
      <c r="F55" s="26"/>
      <c r="G55" s="281" t="str">
        <f t="shared" si="4"/>
        <v/>
      </c>
      <c r="H55" s="282" t="str">
        <f>IF(INDEX(Predictions_2!$A$2:$AWV$3,2,$M$3+(ROW(A52)-1)*$M$4)="","",INDEX(Predictions_2!$A$2:$AWV$3,2,$M$3+(ROW(A52)-1)*$M$4))</f>
        <v/>
      </c>
      <c r="I55" s="283" t="str">
        <f>IF(INDEX(Predictions_2!$A$2:$AWV$3,2,$M$3+(ROW(A52)-1)*$M$4)="","",INDEX(Predictions_2!$A$2:$AWV$3,1,$M$3+(ROW(A52)-1)*$M$4))</f>
        <v/>
      </c>
      <c r="J55" s="281" t="str">
        <f t="shared" si="5"/>
        <v/>
      </c>
    </row>
    <row r="56" spans="2:10">
      <c r="B56" s="276">
        <v>53</v>
      </c>
      <c r="C56" s="277" t="str">
        <f t="shared" si="2"/>
        <v/>
      </c>
      <c r="D56" s="278" t="str">
        <f t="shared" si="3"/>
        <v/>
      </c>
      <c r="E56" s="26"/>
      <c r="F56" s="26"/>
      <c r="G56" s="281" t="str">
        <f t="shared" si="4"/>
        <v/>
      </c>
      <c r="H56" s="282" t="str">
        <f>IF(INDEX(Predictions_2!$A$2:$AWV$3,2,$M$3+(ROW(A53)-1)*$M$4)="","",INDEX(Predictions_2!$A$2:$AWV$3,2,$M$3+(ROW(A53)-1)*$M$4))</f>
        <v/>
      </c>
      <c r="I56" s="283" t="str">
        <f>IF(INDEX(Predictions_2!$A$2:$AWV$3,2,$M$3+(ROW(A53)-1)*$M$4)="","",INDEX(Predictions_2!$A$2:$AWV$3,1,$M$3+(ROW(A53)-1)*$M$4))</f>
        <v/>
      </c>
      <c r="J56" s="281" t="str">
        <f t="shared" si="5"/>
        <v/>
      </c>
    </row>
    <row r="57" spans="2:10">
      <c r="B57" s="276">
        <v>54</v>
      </c>
      <c r="C57" s="277" t="str">
        <f t="shared" si="2"/>
        <v/>
      </c>
      <c r="D57" s="278" t="str">
        <f t="shared" si="3"/>
        <v/>
      </c>
      <c r="E57" s="26"/>
      <c r="F57" s="26"/>
      <c r="G57" s="281" t="str">
        <f t="shared" si="4"/>
        <v/>
      </c>
      <c r="H57" s="282" t="str">
        <f>IF(INDEX(Predictions_2!$A$2:$AWV$3,2,$M$3+(ROW(A54)-1)*$M$4)="","",INDEX(Predictions_2!$A$2:$AWV$3,2,$M$3+(ROW(A54)-1)*$M$4))</f>
        <v/>
      </c>
      <c r="I57" s="283" t="str">
        <f>IF(INDEX(Predictions_2!$A$2:$AWV$3,2,$M$3+(ROW(A54)-1)*$M$4)="","",INDEX(Predictions_2!$A$2:$AWV$3,1,$M$3+(ROW(A54)-1)*$M$4))</f>
        <v/>
      </c>
      <c r="J57" s="281" t="str">
        <f t="shared" si="5"/>
        <v/>
      </c>
    </row>
    <row r="58" spans="2:10">
      <c r="B58" s="276">
        <v>55</v>
      </c>
      <c r="C58" s="277" t="str">
        <f t="shared" si="2"/>
        <v/>
      </c>
      <c r="D58" s="278" t="str">
        <f t="shared" si="3"/>
        <v/>
      </c>
      <c r="E58" s="26"/>
      <c r="F58" s="26"/>
      <c r="G58" s="281" t="str">
        <f t="shared" si="4"/>
        <v/>
      </c>
      <c r="H58" s="282" t="str">
        <f>IF(INDEX(Predictions_2!$A$2:$AWV$3,2,$M$3+(ROW(A55)-1)*$M$4)="","",INDEX(Predictions_2!$A$2:$AWV$3,2,$M$3+(ROW(A55)-1)*$M$4))</f>
        <v/>
      </c>
      <c r="I58" s="283" t="str">
        <f>IF(INDEX(Predictions_2!$A$2:$AWV$3,2,$M$3+(ROW(A55)-1)*$M$4)="","",INDEX(Predictions_2!$A$2:$AWV$3,1,$M$3+(ROW(A55)-1)*$M$4))</f>
        <v/>
      </c>
      <c r="J58" s="281" t="str">
        <f t="shared" si="5"/>
        <v/>
      </c>
    </row>
    <row r="59" spans="2:10">
      <c r="B59" s="276">
        <v>56</v>
      </c>
      <c r="C59" s="277" t="str">
        <f t="shared" si="2"/>
        <v/>
      </c>
      <c r="D59" s="278" t="str">
        <f t="shared" si="3"/>
        <v/>
      </c>
      <c r="E59" s="26"/>
      <c r="F59" s="26"/>
      <c r="G59" s="281" t="str">
        <f t="shared" si="4"/>
        <v/>
      </c>
      <c r="H59" s="282" t="str">
        <f>IF(INDEX(Predictions_2!$A$2:$AWV$3,2,$M$3+(ROW(A56)-1)*$M$4)="","",INDEX(Predictions_2!$A$2:$AWV$3,2,$M$3+(ROW(A56)-1)*$M$4))</f>
        <v/>
      </c>
      <c r="I59" s="283" t="str">
        <f>IF(INDEX(Predictions_2!$A$2:$AWV$3,2,$M$3+(ROW(A56)-1)*$M$4)="","",INDEX(Predictions_2!$A$2:$AWV$3,1,$M$3+(ROW(A56)-1)*$M$4))</f>
        <v/>
      </c>
      <c r="J59" s="281" t="str">
        <f t="shared" si="5"/>
        <v/>
      </c>
    </row>
    <row r="60" spans="2:10">
      <c r="B60" s="276">
        <v>57</v>
      </c>
      <c r="C60" s="277" t="str">
        <f t="shared" si="2"/>
        <v/>
      </c>
      <c r="D60" s="278" t="str">
        <f t="shared" si="3"/>
        <v/>
      </c>
      <c r="E60" s="26"/>
      <c r="F60" s="26"/>
      <c r="G60" s="281" t="str">
        <f t="shared" si="4"/>
        <v/>
      </c>
      <c r="H60" s="282" t="str">
        <f>IF(INDEX(Predictions_2!$A$2:$AWV$3,2,$M$3+(ROW(A57)-1)*$M$4)="","",INDEX(Predictions_2!$A$2:$AWV$3,2,$M$3+(ROW(A57)-1)*$M$4))</f>
        <v/>
      </c>
      <c r="I60" s="283" t="str">
        <f>IF(INDEX(Predictions_2!$A$2:$AWV$3,2,$M$3+(ROW(A57)-1)*$M$4)="","",INDEX(Predictions_2!$A$2:$AWV$3,1,$M$3+(ROW(A57)-1)*$M$4))</f>
        <v/>
      </c>
      <c r="J60" s="281" t="str">
        <f t="shared" si="5"/>
        <v/>
      </c>
    </row>
    <row r="61" spans="2:10">
      <c r="B61" s="276">
        <v>58</v>
      </c>
      <c r="C61" s="277" t="str">
        <f t="shared" si="2"/>
        <v/>
      </c>
      <c r="D61" s="278" t="str">
        <f t="shared" si="3"/>
        <v/>
      </c>
      <c r="E61" s="26"/>
      <c r="F61" s="26"/>
      <c r="G61" s="281" t="str">
        <f t="shared" si="4"/>
        <v/>
      </c>
      <c r="H61" s="282" t="str">
        <f>IF(INDEX(Predictions_2!$A$2:$AWV$3,2,$M$3+(ROW(A58)-1)*$M$4)="","",INDEX(Predictions_2!$A$2:$AWV$3,2,$M$3+(ROW(A58)-1)*$M$4))</f>
        <v/>
      </c>
      <c r="I61" s="283" t="str">
        <f>IF(INDEX(Predictions_2!$A$2:$AWV$3,2,$M$3+(ROW(A58)-1)*$M$4)="","",INDEX(Predictions_2!$A$2:$AWV$3,1,$M$3+(ROW(A58)-1)*$M$4))</f>
        <v/>
      </c>
      <c r="J61" s="281" t="str">
        <f t="shared" si="5"/>
        <v/>
      </c>
    </row>
    <row r="62" spans="2:10">
      <c r="B62" s="276">
        <v>59</v>
      </c>
      <c r="C62" s="277" t="str">
        <f t="shared" si="2"/>
        <v/>
      </c>
      <c r="D62" s="278" t="str">
        <f t="shared" si="3"/>
        <v/>
      </c>
      <c r="E62" s="26"/>
      <c r="F62" s="26"/>
      <c r="G62" s="281" t="str">
        <f t="shared" si="4"/>
        <v/>
      </c>
      <c r="H62" s="282" t="str">
        <f>IF(INDEX(Predictions_2!$A$2:$AWV$3,2,$M$3+(ROW(A59)-1)*$M$4)="","",INDEX(Predictions_2!$A$2:$AWV$3,2,$M$3+(ROW(A59)-1)*$M$4))</f>
        <v/>
      </c>
      <c r="I62" s="283" t="str">
        <f>IF(INDEX(Predictions_2!$A$2:$AWV$3,2,$M$3+(ROW(A59)-1)*$M$4)="","",INDEX(Predictions_2!$A$2:$AWV$3,1,$M$3+(ROW(A59)-1)*$M$4))</f>
        <v/>
      </c>
      <c r="J62" s="281" t="str">
        <f t="shared" si="5"/>
        <v/>
      </c>
    </row>
    <row r="63" spans="2:10">
      <c r="B63" s="276">
        <v>60</v>
      </c>
      <c r="C63" s="277" t="str">
        <f t="shared" si="2"/>
        <v/>
      </c>
      <c r="D63" s="278" t="str">
        <f t="shared" si="3"/>
        <v/>
      </c>
      <c r="E63" s="26"/>
      <c r="F63" s="26"/>
      <c r="G63" s="281" t="str">
        <f t="shared" si="4"/>
        <v/>
      </c>
      <c r="H63" s="282" t="str">
        <f>IF(INDEX(Predictions_2!$A$2:$AWV$3,2,$M$3+(ROW(A60)-1)*$M$4)="","",INDEX(Predictions_2!$A$2:$AWV$3,2,$M$3+(ROW(A60)-1)*$M$4))</f>
        <v/>
      </c>
      <c r="I63" s="283" t="str">
        <f>IF(INDEX(Predictions_2!$A$2:$AWV$3,2,$M$3+(ROW(A60)-1)*$M$4)="","",INDEX(Predictions_2!$A$2:$AWV$3,1,$M$3+(ROW(A60)-1)*$M$4))</f>
        <v/>
      </c>
      <c r="J63" s="281" t="str">
        <f t="shared" si="5"/>
        <v/>
      </c>
    </row>
    <row r="64" spans="2:10">
      <c r="B64" s="276">
        <v>61</v>
      </c>
      <c r="C64" s="277" t="str">
        <f t="shared" si="2"/>
        <v/>
      </c>
      <c r="D64" s="278" t="str">
        <f t="shared" si="3"/>
        <v/>
      </c>
      <c r="E64" s="26"/>
      <c r="F64" s="26"/>
      <c r="G64" s="281" t="str">
        <f t="shared" si="4"/>
        <v/>
      </c>
      <c r="H64" s="282" t="str">
        <f>IF(INDEX(Predictions_2!$A$2:$AWV$3,2,$M$3+(ROW(A61)-1)*$M$4)="","",INDEX(Predictions_2!$A$2:$AWV$3,2,$M$3+(ROW(A61)-1)*$M$4))</f>
        <v/>
      </c>
      <c r="I64" s="283" t="str">
        <f>IF(INDEX(Predictions_2!$A$2:$AWV$3,2,$M$3+(ROW(A61)-1)*$M$4)="","",INDEX(Predictions_2!$A$2:$AWV$3,1,$M$3+(ROW(A61)-1)*$M$4))</f>
        <v/>
      </c>
      <c r="J64" s="281" t="str">
        <f t="shared" si="5"/>
        <v/>
      </c>
    </row>
    <row r="65" spans="2:10">
      <c r="B65" s="276">
        <v>62</v>
      </c>
      <c r="C65" s="277" t="str">
        <f t="shared" si="2"/>
        <v/>
      </c>
      <c r="D65" s="278" t="str">
        <f t="shared" si="3"/>
        <v/>
      </c>
      <c r="E65" s="26"/>
      <c r="F65" s="26"/>
      <c r="G65" s="281" t="str">
        <f t="shared" si="4"/>
        <v/>
      </c>
      <c r="H65" s="282" t="str">
        <f>IF(INDEX(Predictions_2!$A$2:$AWV$3,2,$M$3+(ROW(A62)-1)*$M$4)="","",INDEX(Predictions_2!$A$2:$AWV$3,2,$M$3+(ROW(A62)-1)*$M$4))</f>
        <v/>
      </c>
      <c r="I65" s="283" t="str">
        <f>IF(INDEX(Predictions_2!$A$2:$AWV$3,2,$M$3+(ROW(A62)-1)*$M$4)="","",INDEX(Predictions_2!$A$2:$AWV$3,1,$M$3+(ROW(A62)-1)*$M$4))</f>
        <v/>
      </c>
      <c r="J65" s="281" t="str">
        <f t="shared" si="5"/>
        <v/>
      </c>
    </row>
    <row r="66" spans="2:10">
      <c r="B66" s="276">
        <v>63</v>
      </c>
      <c r="C66" s="277" t="str">
        <f t="shared" si="2"/>
        <v/>
      </c>
      <c r="D66" s="278" t="str">
        <f t="shared" si="3"/>
        <v/>
      </c>
      <c r="E66" s="26"/>
      <c r="F66" s="26"/>
      <c r="G66" s="281" t="str">
        <f t="shared" si="4"/>
        <v/>
      </c>
      <c r="H66" s="282" t="str">
        <f>IF(INDEX(Predictions_2!$A$2:$AWV$3,2,$M$3+(ROW(A63)-1)*$M$4)="","",INDEX(Predictions_2!$A$2:$AWV$3,2,$M$3+(ROW(A63)-1)*$M$4))</f>
        <v/>
      </c>
      <c r="I66" s="283" t="str">
        <f>IF(INDEX(Predictions_2!$A$2:$AWV$3,2,$M$3+(ROW(A63)-1)*$M$4)="","",INDEX(Predictions_2!$A$2:$AWV$3,1,$M$3+(ROW(A63)-1)*$M$4))</f>
        <v/>
      </c>
      <c r="J66" s="281" t="str">
        <f t="shared" si="5"/>
        <v/>
      </c>
    </row>
    <row r="67" spans="2:10">
      <c r="B67" s="276">
        <v>64</v>
      </c>
      <c r="C67" s="277" t="str">
        <f t="shared" si="2"/>
        <v/>
      </c>
      <c r="D67" s="278" t="str">
        <f t="shared" si="3"/>
        <v/>
      </c>
      <c r="E67" s="26"/>
      <c r="F67" s="26"/>
      <c r="G67" s="281" t="str">
        <f t="shared" si="4"/>
        <v/>
      </c>
      <c r="H67" s="282" t="str">
        <f>IF(INDEX(Predictions_2!$A$2:$AWV$3,2,$M$3+(ROW(A64)-1)*$M$4)="","",INDEX(Predictions_2!$A$2:$AWV$3,2,$M$3+(ROW(A64)-1)*$M$4))</f>
        <v/>
      </c>
      <c r="I67" s="283" t="str">
        <f>IF(INDEX(Predictions_2!$A$2:$AWV$3,2,$M$3+(ROW(A64)-1)*$M$4)="","",INDEX(Predictions_2!$A$2:$AWV$3,1,$M$3+(ROW(A64)-1)*$M$4))</f>
        <v/>
      </c>
      <c r="J67" s="281" t="str">
        <f t="shared" si="5"/>
        <v/>
      </c>
    </row>
    <row r="68" spans="2:10">
      <c r="B68" s="276">
        <v>65</v>
      </c>
      <c r="C68" s="277" t="str">
        <f t="shared" si="2"/>
        <v/>
      </c>
      <c r="D68" s="278" t="str">
        <f t="shared" si="3"/>
        <v/>
      </c>
      <c r="E68" s="26"/>
      <c r="F68" s="26"/>
      <c r="G68" s="281" t="str">
        <f t="shared" ref="G68:G103" si="6">IF(J68="","",RANK(J68,$J$4:$J$103,1))</f>
        <v/>
      </c>
      <c r="H68" s="282" t="str">
        <f>IF(INDEX(Predictions_2!$A$2:$AWV$3,2,$M$3+(ROW(A65)-1)*$M$4)="","",INDEX(Predictions_2!$A$2:$AWV$3,2,$M$3+(ROW(A65)-1)*$M$4))</f>
        <v/>
      </c>
      <c r="I68" s="283" t="str">
        <f>IF(INDEX(Predictions_2!$A$2:$AWV$3,2,$M$3+(ROW(A65)-1)*$M$4)="","",INDEX(Predictions_2!$A$2:$AWV$3,1,$M$3+(ROW(A65)-1)*$M$4))</f>
        <v/>
      </c>
      <c r="J68" s="281" t="str">
        <f t="shared" ref="J68:J99" si="7">IF(I68="","",RANK(I68,$I$4:$I$103,0)+ROW()*0.001)</f>
        <v/>
      </c>
    </row>
    <row r="69" spans="2:10">
      <c r="B69" s="276">
        <v>66</v>
      </c>
      <c r="C69" s="277" t="str">
        <f t="shared" ref="C69:C102" si="8">IFERROR(VLOOKUP(B69,$G$4:$H$103,2,0),"")</f>
        <v/>
      </c>
      <c r="D69" s="278" t="str">
        <f t="shared" ref="D69:D102" si="9">IFERROR(VLOOKUP(B69,$G$4:$I$103,3,0),"")</f>
        <v/>
      </c>
      <c r="E69" s="26"/>
      <c r="F69" s="26"/>
      <c r="G69" s="281" t="str">
        <f t="shared" si="6"/>
        <v/>
      </c>
      <c r="H69" s="282" t="str">
        <f>IF(INDEX(Predictions_2!$A$2:$AWV$3,2,$M$3+(ROW(A66)-1)*$M$4)="","",INDEX(Predictions_2!$A$2:$AWV$3,2,$M$3+(ROW(A66)-1)*$M$4))</f>
        <v/>
      </c>
      <c r="I69" s="283" t="str">
        <f>IF(INDEX(Predictions_2!$A$2:$AWV$3,2,$M$3+(ROW(A66)-1)*$M$4)="","",INDEX(Predictions_2!$A$2:$AWV$3,1,$M$3+(ROW(A66)-1)*$M$4))</f>
        <v/>
      </c>
      <c r="J69" s="281" t="str">
        <f t="shared" si="7"/>
        <v/>
      </c>
    </row>
    <row r="70" spans="2:10">
      <c r="B70" s="276">
        <v>67</v>
      </c>
      <c r="C70" s="277" t="str">
        <f t="shared" si="8"/>
        <v/>
      </c>
      <c r="D70" s="278" t="str">
        <f t="shared" si="9"/>
        <v/>
      </c>
      <c r="E70" s="26"/>
      <c r="F70" s="26"/>
      <c r="G70" s="281" t="str">
        <f t="shared" si="6"/>
        <v/>
      </c>
      <c r="H70" s="282" t="str">
        <f>IF(INDEX(Predictions_2!$A$2:$AWV$3,2,$M$3+(ROW(A67)-1)*$M$4)="","",INDEX(Predictions_2!$A$2:$AWV$3,2,$M$3+(ROW(A67)-1)*$M$4))</f>
        <v/>
      </c>
      <c r="I70" s="283" t="str">
        <f>IF(INDEX(Predictions_2!$A$2:$AWV$3,2,$M$3+(ROW(A67)-1)*$M$4)="","",INDEX(Predictions_2!$A$2:$AWV$3,1,$M$3+(ROW(A67)-1)*$M$4))</f>
        <v/>
      </c>
      <c r="J70" s="281" t="str">
        <f t="shared" si="7"/>
        <v/>
      </c>
    </row>
    <row r="71" spans="2:10">
      <c r="B71" s="276">
        <v>68</v>
      </c>
      <c r="C71" s="277" t="str">
        <f t="shared" si="8"/>
        <v/>
      </c>
      <c r="D71" s="278" t="str">
        <f t="shared" si="9"/>
        <v/>
      </c>
      <c r="E71" s="26"/>
      <c r="F71" s="26"/>
      <c r="G71" s="281" t="str">
        <f t="shared" si="6"/>
        <v/>
      </c>
      <c r="H71" s="282" t="str">
        <f>IF(INDEX(Predictions_2!$A$2:$AWV$3,2,$M$3+(ROW(A68)-1)*$M$4)="","",INDEX(Predictions_2!$A$2:$AWV$3,2,$M$3+(ROW(A68)-1)*$M$4))</f>
        <v/>
      </c>
      <c r="I71" s="283" t="str">
        <f>IF(INDEX(Predictions_2!$A$2:$AWV$3,2,$M$3+(ROW(A68)-1)*$M$4)="","",INDEX(Predictions_2!$A$2:$AWV$3,1,$M$3+(ROW(A68)-1)*$M$4))</f>
        <v/>
      </c>
      <c r="J71" s="281" t="str">
        <f t="shared" si="7"/>
        <v/>
      </c>
    </row>
    <row r="72" spans="2:10">
      <c r="B72" s="276">
        <v>69</v>
      </c>
      <c r="C72" s="277" t="str">
        <f t="shared" si="8"/>
        <v/>
      </c>
      <c r="D72" s="278" t="str">
        <f t="shared" si="9"/>
        <v/>
      </c>
      <c r="E72" s="26"/>
      <c r="F72" s="26"/>
      <c r="G72" s="281" t="str">
        <f t="shared" si="6"/>
        <v/>
      </c>
      <c r="H72" s="282" t="str">
        <f>IF(INDEX(Predictions_2!$A$2:$AWV$3,2,$M$3+(ROW(A69)-1)*$M$4)="","",INDEX(Predictions_2!$A$2:$AWV$3,2,$M$3+(ROW(A69)-1)*$M$4))</f>
        <v/>
      </c>
      <c r="I72" s="283" t="str">
        <f>IF(INDEX(Predictions_2!$A$2:$AWV$3,2,$M$3+(ROW(A69)-1)*$M$4)="","",INDEX(Predictions_2!$A$2:$AWV$3,1,$M$3+(ROW(A69)-1)*$M$4))</f>
        <v/>
      </c>
      <c r="J72" s="281" t="str">
        <f t="shared" si="7"/>
        <v/>
      </c>
    </row>
    <row r="73" spans="2:10">
      <c r="B73" s="276">
        <v>70</v>
      </c>
      <c r="C73" s="277" t="str">
        <f t="shared" si="8"/>
        <v/>
      </c>
      <c r="D73" s="278" t="str">
        <f t="shared" si="9"/>
        <v/>
      </c>
      <c r="E73" s="26"/>
      <c r="F73" s="26"/>
      <c r="G73" s="281" t="str">
        <f t="shared" si="6"/>
        <v/>
      </c>
      <c r="H73" s="282" t="str">
        <f>IF(INDEX(Predictions_2!$A$2:$AWV$3,2,$M$3+(ROW(A70)-1)*$M$4)="","",INDEX(Predictions_2!$A$2:$AWV$3,2,$M$3+(ROW(A70)-1)*$M$4))</f>
        <v/>
      </c>
      <c r="I73" s="283" t="str">
        <f>IF(INDEX(Predictions_2!$A$2:$AWV$3,2,$M$3+(ROW(A70)-1)*$M$4)="","",INDEX(Predictions_2!$A$2:$AWV$3,1,$M$3+(ROW(A70)-1)*$M$4))</f>
        <v/>
      </c>
      <c r="J73" s="281" t="str">
        <f t="shared" si="7"/>
        <v/>
      </c>
    </row>
    <row r="74" spans="2:10">
      <c r="B74" s="276">
        <v>71</v>
      </c>
      <c r="C74" s="277" t="str">
        <f t="shared" si="8"/>
        <v/>
      </c>
      <c r="D74" s="278" t="str">
        <f t="shared" si="9"/>
        <v/>
      </c>
      <c r="E74" s="26"/>
      <c r="F74" s="26"/>
      <c r="G74" s="281" t="str">
        <f t="shared" si="6"/>
        <v/>
      </c>
      <c r="H74" s="282" t="str">
        <f>IF(INDEX(Predictions_2!$A$2:$AWV$3,2,$M$3+(ROW(A71)-1)*$M$4)="","",INDEX(Predictions_2!$A$2:$AWV$3,2,$M$3+(ROW(A71)-1)*$M$4))</f>
        <v/>
      </c>
      <c r="I74" s="283" t="str">
        <f>IF(INDEX(Predictions_2!$A$2:$AWV$3,2,$M$3+(ROW(A71)-1)*$M$4)="","",INDEX(Predictions_2!$A$2:$AWV$3,1,$M$3+(ROW(A71)-1)*$M$4))</f>
        <v/>
      </c>
      <c r="J74" s="281" t="str">
        <f t="shared" si="7"/>
        <v/>
      </c>
    </row>
    <row r="75" spans="2:10">
      <c r="B75" s="276">
        <v>72</v>
      </c>
      <c r="C75" s="277" t="str">
        <f t="shared" si="8"/>
        <v/>
      </c>
      <c r="D75" s="278" t="str">
        <f t="shared" si="9"/>
        <v/>
      </c>
      <c r="E75" s="26"/>
      <c r="F75" s="26"/>
      <c r="G75" s="281" t="str">
        <f t="shared" si="6"/>
        <v/>
      </c>
      <c r="H75" s="282" t="str">
        <f>IF(INDEX(Predictions_2!$A$2:$AWV$3,2,$M$3+(ROW(A72)-1)*$M$4)="","",INDEX(Predictions_2!$A$2:$AWV$3,2,$M$3+(ROW(A72)-1)*$M$4))</f>
        <v/>
      </c>
      <c r="I75" s="283" t="str">
        <f>IF(INDEX(Predictions_2!$A$2:$AWV$3,2,$M$3+(ROW(A72)-1)*$M$4)="","",INDEX(Predictions_2!$A$2:$AWV$3,1,$M$3+(ROW(A72)-1)*$M$4))</f>
        <v/>
      </c>
      <c r="J75" s="281" t="str">
        <f t="shared" si="7"/>
        <v/>
      </c>
    </row>
    <row r="76" spans="2:10">
      <c r="B76" s="276">
        <v>73</v>
      </c>
      <c r="C76" s="277" t="str">
        <f t="shared" si="8"/>
        <v/>
      </c>
      <c r="D76" s="278" t="str">
        <f t="shared" si="9"/>
        <v/>
      </c>
      <c r="E76" s="26"/>
      <c r="F76" s="26"/>
      <c r="G76" s="281" t="str">
        <f t="shared" si="6"/>
        <v/>
      </c>
      <c r="H76" s="282" t="str">
        <f>IF(INDEX(Predictions_2!$A$2:$AWV$3,2,$M$3+(ROW(A73)-1)*$M$4)="","",INDEX(Predictions_2!$A$2:$AWV$3,2,$M$3+(ROW(A73)-1)*$M$4))</f>
        <v/>
      </c>
      <c r="I76" s="283" t="str">
        <f>IF(INDEX(Predictions_2!$A$2:$AWV$3,2,$M$3+(ROW(A73)-1)*$M$4)="","",INDEX(Predictions_2!$A$2:$AWV$3,1,$M$3+(ROW(A73)-1)*$M$4))</f>
        <v/>
      </c>
      <c r="J76" s="281" t="str">
        <f t="shared" si="7"/>
        <v/>
      </c>
    </row>
    <row r="77" spans="2:10">
      <c r="B77" s="276">
        <v>74</v>
      </c>
      <c r="C77" s="277" t="str">
        <f t="shared" si="8"/>
        <v/>
      </c>
      <c r="D77" s="278" t="str">
        <f t="shared" si="9"/>
        <v/>
      </c>
      <c r="E77" s="26"/>
      <c r="F77" s="26"/>
      <c r="G77" s="281" t="str">
        <f t="shared" si="6"/>
        <v/>
      </c>
      <c r="H77" s="282" t="str">
        <f>IF(INDEX(Predictions_2!$A$2:$AWV$3,2,$M$3+(ROW(A74)-1)*$M$4)="","",INDEX(Predictions_2!$A$2:$AWV$3,2,$M$3+(ROW(A74)-1)*$M$4))</f>
        <v/>
      </c>
      <c r="I77" s="283" t="str">
        <f>IF(INDEX(Predictions_2!$A$2:$AWV$3,2,$M$3+(ROW(A74)-1)*$M$4)="","",INDEX(Predictions_2!$A$2:$AWV$3,1,$M$3+(ROW(A74)-1)*$M$4))</f>
        <v/>
      </c>
      <c r="J77" s="281" t="str">
        <f t="shared" si="7"/>
        <v/>
      </c>
    </row>
    <row r="78" spans="2:10">
      <c r="B78" s="276">
        <v>75</v>
      </c>
      <c r="C78" s="277" t="str">
        <f t="shared" si="8"/>
        <v/>
      </c>
      <c r="D78" s="278" t="str">
        <f t="shared" si="9"/>
        <v/>
      </c>
      <c r="E78" s="26"/>
      <c r="F78" s="26"/>
      <c r="G78" s="281" t="str">
        <f t="shared" si="6"/>
        <v/>
      </c>
      <c r="H78" s="282" t="str">
        <f>IF(INDEX(Predictions_2!$A$2:$AWV$3,2,$M$3+(ROW(A75)-1)*$M$4)="","",INDEX(Predictions_2!$A$2:$AWV$3,2,$M$3+(ROW(A75)-1)*$M$4))</f>
        <v/>
      </c>
      <c r="I78" s="283" t="str">
        <f>IF(INDEX(Predictions_2!$A$2:$AWV$3,2,$M$3+(ROW(A75)-1)*$M$4)="","",INDEX(Predictions_2!$A$2:$AWV$3,1,$M$3+(ROW(A75)-1)*$M$4))</f>
        <v/>
      </c>
      <c r="J78" s="281" t="str">
        <f t="shared" si="7"/>
        <v/>
      </c>
    </row>
    <row r="79" spans="2:10">
      <c r="B79" s="276">
        <v>76</v>
      </c>
      <c r="C79" s="277" t="str">
        <f t="shared" si="8"/>
        <v/>
      </c>
      <c r="D79" s="278" t="str">
        <f t="shared" si="9"/>
        <v/>
      </c>
      <c r="E79" s="26"/>
      <c r="F79" s="26"/>
      <c r="G79" s="281" t="str">
        <f t="shared" si="6"/>
        <v/>
      </c>
      <c r="H79" s="282" t="str">
        <f>IF(INDEX(Predictions_2!$A$2:$AWV$3,2,$M$3+(ROW(A76)-1)*$M$4)="","",INDEX(Predictions_2!$A$2:$AWV$3,2,$M$3+(ROW(A76)-1)*$M$4))</f>
        <v/>
      </c>
      <c r="I79" s="283" t="str">
        <f>IF(INDEX(Predictions_2!$A$2:$AWV$3,2,$M$3+(ROW(A76)-1)*$M$4)="","",INDEX(Predictions_2!$A$2:$AWV$3,1,$M$3+(ROW(A76)-1)*$M$4))</f>
        <v/>
      </c>
      <c r="J79" s="281" t="str">
        <f t="shared" si="7"/>
        <v/>
      </c>
    </row>
    <row r="80" spans="2:10">
      <c r="B80" s="276">
        <v>77</v>
      </c>
      <c r="C80" s="277" t="str">
        <f t="shared" si="8"/>
        <v/>
      </c>
      <c r="D80" s="278" t="str">
        <f t="shared" si="9"/>
        <v/>
      </c>
      <c r="E80" s="26"/>
      <c r="F80" s="26"/>
      <c r="G80" s="281" t="str">
        <f t="shared" si="6"/>
        <v/>
      </c>
      <c r="H80" s="282" t="str">
        <f>IF(INDEX(Predictions_2!$A$2:$AWV$3,2,$M$3+(ROW(A77)-1)*$M$4)="","",INDEX(Predictions_2!$A$2:$AWV$3,2,$M$3+(ROW(A77)-1)*$M$4))</f>
        <v/>
      </c>
      <c r="I80" s="283" t="str">
        <f>IF(INDEX(Predictions_2!$A$2:$AWV$3,2,$M$3+(ROW(A77)-1)*$M$4)="","",INDEX(Predictions_2!$A$2:$AWV$3,1,$M$3+(ROW(A77)-1)*$M$4))</f>
        <v/>
      </c>
      <c r="J80" s="281" t="str">
        <f t="shared" si="7"/>
        <v/>
      </c>
    </row>
    <row r="81" spans="2:10">
      <c r="B81" s="276">
        <v>78</v>
      </c>
      <c r="C81" s="277" t="str">
        <f t="shared" si="8"/>
        <v/>
      </c>
      <c r="D81" s="278" t="str">
        <f t="shared" si="9"/>
        <v/>
      </c>
      <c r="E81" s="26"/>
      <c r="F81" s="26"/>
      <c r="G81" s="281" t="str">
        <f t="shared" si="6"/>
        <v/>
      </c>
      <c r="H81" s="282" t="str">
        <f>IF(INDEX(Predictions_2!$A$2:$AWV$3,2,$M$3+(ROW(A78)-1)*$M$4)="","",INDEX(Predictions_2!$A$2:$AWV$3,2,$M$3+(ROW(A78)-1)*$M$4))</f>
        <v/>
      </c>
      <c r="I81" s="283" t="str">
        <f>IF(INDEX(Predictions_2!$A$2:$AWV$3,2,$M$3+(ROW(A78)-1)*$M$4)="","",INDEX(Predictions_2!$A$2:$AWV$3,1,$M$3+(ROW(A78)-1)*$M$4))</f>
        <v/>
      </c>
      <c r="J81" s="281" t="str">
        <f t="shared" si="7"/>
        <v/>
      </c>
    </row>
    <row r="82" spans="2:10">
      <c r="B82" s="276">
        <v>79</v>
      </c>
      <c r="C82" s="277" t="str">
        <f t="shared" si="8"/>
        <v/>
      </c>
      <c r="D82" s="278" t="str">
        <f t="shared" si="9"/>
        <v/>
      </c>
      <c r="E82" s="26"/>
      <c r="F82" s="26"/>
      <c r="G82" s="281" t="str">
        <f t="shared" si="6"/>
        <v/>
      </c>
      <c r="H82" s="282" t="str">
        <f>IF(INDEX(Predictions_2!$A$2:$AWV$3,2,$M$3+(ROW(A79)-1)*$M$4)="","",INDEX(Predictions_2!$A$2:$AWV$3,2,$M$3+(ROW(A79)-1)*$M$4))</f>
        <v/>
      </c>
      <c r="I82" s="283" t="str">
        <f>IF(INDEX(Predictions_2!$A$2:$AWV$3,2,$M$3+(ROW(A79)-1)*$M$4)="","",INDEX(Predictions_2!$A$2:$AWV$3,1,$M$3+(ROW(A79)-1)*$M$4))</f>
        <v/>
      </c>
      <c r="J82" s="281" t="str">
        <f t="shared" si="7"/>
        <v/>
      </c>
    </row>
    <row r="83" spans="2:10">
      <c r="B83" s="276">
        <v>80</v>
      </c>
      <c r="C83" s="277" t="str">
        <f t="shared" si="8"/>
        <v/>
      </c>
      <c r="D83" s="278" t="str">
        <f t="shared" si="9"/>
        <v/>
      </c>
      <c r="E83" s="26"/>
      <c r="F83" s="26"/>
      <c r="G83" s="281" t="str">
        <f t="shared" si="6"/>
        <v/>
      </c>
      <c r="H83" s="282" t="str">
        <f>IF(INDEX(Predictions_2!$A$2:$AWV$3,2,$M$3+(ROW(A80)-1)*$M$4)="","",INDEX(Predictions_2!$A$2:$AWV$3,2,$M$3+(ROW(A80)-1)*$M$4))</f>
        <v/>
      </c>
      <c r="I83" s="283" t="str">
        <f>IF(INDEX(Predictions_2!$A$2:$AWV$3,2,$M$3+(ROW(A80)-1)*$M$4)="","",INDEX(Predictions_2!$A$2:$AWV$3,1,$M$3+(ROW(A80)-1)*$M$4))</f>
        <v/>
      </c>
      <c r="J83" s="281" t="str">
        <f t="shared" si="7"/>
        <v/>
      </c>
    </row>
    <row r="84" spans="2:10">
      <c r="B84" s="276">
        <v>81</v>
      </c>
      <c r="C84" s="277" t="str">
        <f t="shared" si="8"/>
        <v/>
      </c>
      <c r="D84" s="278" t="str">
        <f t="shared" si="9"/>
        <v/>
      </c>
      <c r="E84" s="26"/>
      <c r="F84" s="26"/>
      <c r="G84" s="281" t="str">
        <f t="shared" si="6"/>
        <v/>
      </c>
      <c r="H84" s="282" t="str">
        <f>IF(INDEX(Predictions_2!$A$2:$AWV$3,2,$M$3+(ROW(A81)-1)*$M$4)="","",INDEX(Predictions_2!$A$2:$AWV$3,2,$M$3+(ROW(A81)-1)*$M$4))</f>
        <v/>
      </c>
      <c r="I84" s="283" t="str">
        <f>IF(INDEX(Predictions_2!$A$2:$AWV$3,2,$M$3+(ROW(A81)-1)*$M$4)="","",INDEX(Predictions_2!$A$2:$AWV$3,1,$M$3+(ROW(A81)-1)*$M$4))</f>
        <v/>
      </c>
      <c r="J84" s="281" t="str">
        <f t="shared" si="7"/>
        <v/>
      </c>
    </row>
    <row r="85" spans="2:10">
      <c r="B85" s="276">
        <v>82</v>
      </c>
      <c r="C85" s="277" t="str">
        <f t="shared" si="8"/>
        <v/>
      </c>
      <c r="D85" s="278" t="str">
        <f t="shared" si="9"/>
        <v/>
      </c>
      <c r="E85" s="26"/>
      <c r="F85" s="26"/>
      <c r="G85" s="281" t="str">
        <f t="shared" si="6"/>
        <v/>
      </c>
      <c r="H85" s="282" t="str">
        <f>IF(INDEX(Predictions_2!$A$2:$AWV$3,2,$M$3+(ROW(A82)-1)*$M$4)="","",INDEX(Predictions_2!$A$2:$AWV$3,2,$M$3+(ROW(A82)-1)*$M$4))</f>
        <v/>
      </c>
      <c r="I85" s="283" t="str">
        <f>IF(INDEX(Predictions_2!$A$2:$AWV$3,2,$M$3+(ROW(A82)-1)*$M$4)="","",INDEX(Predictions_2!$A$2:$AWV$3,1,$M$3+(ROW(A82)-1)*$M$4))</f>
        <v/>
      </c>
      <c r="J85" s="281" t="str">
        <f t="shared" si="7"/>
        <v/>
      </c>
    </row>
    <row r="86" spans="2:10">
      <c r="B86" s="276">
        <v>83</v>
      </c>
      <c r="C86" s="277" t="str">
        <f t="shared" si="8"/>
        <v/>
      </c>
      <c r="D86" s="278" t="str">
        <f t="shared" si="9"/>
        <v/>
      </c>
      <c r="E86" s="26"/>
      <c r="F86" s="26"/>
      <c r="G86" s="281" t="str">
        <f t="shared" si="6"/>
        <v/>
      </c>
      <c r="H86" s="282" t="str">
        <f>IF(INDEX(Predictions_2!$A$2:$AWV$3,2,$M$3+(ROW(A83)-1)*$M$4)="","",INDEX(Predictions_2!$A$2:$AWV$3,2,$M$3+(ROW(A83)-1)*$M$4))</f>
        <v/>
      </c>
      <c r="I86" s="283" t="str">
        <f>IF(INDEX(Predictions_2!$A$2:$AWV$3,2,$M$3+(ROW(A83)-1)*$M$4)="","",INDEX(Predictions_2!$A$2:$AWV$3,1,$M$3+(ROW(A83)-1)*$M$4))</f>
        <v/>
      </c>
      <c r="J86" s="281" t="str">
        <f t="shared" si="7"/>
        <v/>
      </c>
    </row>
    <row r="87" spans="2:10">
      <c r="B87" s="276">
        <v>84</v>
      </c>
      <c r="C87" s="277" t="str">
        <f t="shared" si="8"/>
        <v/>
      </c>
      <c r="D87" s="278" t="str">
        <f t="shared" si="9"/>
        <v/>
      </c>
      <c r="E87" s="26"/>
      <c r="F87" s="26"/>
      <c r="G87" s="281" t="str">
        <f t="shared" si="6"/>
        <v/>
      </c>
      <c r="H87" s="282" t="str">
        <f>IF(INDEX(Predictions_2!$A$2:$AWV$3,2,$M$3+(ROW(A84)-1)*$M$4)="","",INDEX(Predictions_2!$A$2:$AWV$3,2,$M$3+(ROW(A84)-1)*$M$4))</f>
        <v/>
      </c>
      <c r="I87" s="283" t="str">
        <f>IF(INDEX(Predictions_2!$A$2:$AWV$3,2,$M$3+(ROW(A84)-1)*$M$4)="","",INDEX(Predictions_2!$A$2:$AWV$3,1,$M$3+(ROW(A84)-1)*$M$4))</f>
        <v/>
      </c>
      <c r="J87" s="281" t="str">
        <f t="shared" si="7"/>
        <v/>
      </c>
    </row>
    <row r="88" spans="2:10">
      <c r="B88" s="276">
        <v>85</v>
      </c>
      <c r="C88" s="277" t="str">
        <f t="shared" si="8"/>
        <v/>
      </c>
      <c r="D88" s="278" t="str">
        <f t="shared" si="9"/>
        <v/>
      </c>
      <c r="E88" s="26"/>
      <c r="F88" s="26"/>
      <c r="G88" s="281" t="str">
        <f t="shared" si="6"/>
        <v/>
      </c>
      <c r="H88" s="282" t="str">
        <f>IF(INDEX(Predictions_2!$A$2:$AWV$3,2,$M$3+(ROW(A85)-1)*$M$4)="","",INDEX(Predictions_2!$A$2:$AWV$3,2,$M$3+(ROW(A85)-1)*$M$4))</f>
        <v/>
      </c>
      <c r="I88" s="283" t="str">
        <f>IF(INDEX(Predictions_2!$A$2:$AWV$3,2,$M$3+(ROW(A85)-1)*$M$4)="","",INDEX(Predictions_2!$A$2:$AWV$3,1,$M$3+(ROW(A85)-1)*$M$4))</f>
        <v/>
      </c>
      <c r="J88" s="281" t="str">
        <f t="shared" si="7"/>
        <v/>
      </c>
    </row>
    <row r="89" spans="2:10">
      <c r="B89" s="276">
        <v>86</v>
      </c>
      <c r="C89" s="277" t="str">
        <f t="shared" si="8"/>
        <v/>
      </c>
      <c r="D89" s="278" t="str">
        <f t="shared" si="9"/>
        <v/>
      </c>
      <c r="E89" s="26"/>
      <c r="F89" s="26"/>
      <c r="G89" s="281" t="str">
        <f t="shared" si="6"/>
        <v/>
      </c>
      <c r="H89" s="282" t="str">
        <f>IF(INDEX(Predictions_2!$A$2:$AWV$3,2,$M$3+(ROW(A86)-1)*$M$4)="","",INDEX(Predictions_2!$A$2:$AWV$3,2,$M$3+(ROW(A86)-1)*$M$4))</f>
        <v/>
      </c>
      <c r="I89" s="283" t="str">
        <f>IF(INDEX(Predictions_2!$A$2:$AWV$3,2,$M$3+(ROW(A86)-1)*$M$4)="","",INDEX(Predictions_2!$A$2:$AWV$3,1,$M$3+(ROW(A86)-1)*$M$4))</f>
        <v/>
      </c>
      <c r="J89" s="281" t="str">
        <f t="shared" si="7"/>
        <v/>
      </c>
    </row>
    <row r="90" spans="2:10">
      <c r="B90" s="276">
        <v>87</v>
      </c>
      <c r="C90" s="277" t="str">
        <f t="shared" si="8"/>
        <v/>
      </c>
      <c r="D90" s="278" t="str">
        <f t="shared" si="9"/>
        <v/>
      </c>
      <c r="E90" s="26"/>
      <c r="F90" s="26"/>
      <c r="G90" s="281" t="str">
        <f t="shared" si="6"/>
        <v/>
      </c>
      <c r="H90" s="282" t="str">
        <f>IF(INDEX(Predictions_2!$A$2:$AWV$3,2,$M$3+(ROW(A87)-1)*$M$4)="","",INDEX(Predictions_2!$A$2:$AWV$3,2,$M$3+(ROW(A87)-1)*$M$4))</f>
        <v/>
      </c>
      <c r="I90" s="283" t="str">
        <f>IF(INDEX(Predictions_2!$A$2:$AWV$3,2,$M$3+(ROW(A87)-1)*$M$4)="","",INDEX(Predictions_2!$A$2:$AWV$3,1,$M$3+(ROW(A87)-1)*$M$4))</f>
        <v/>
      </c>
      <c r="J90" s="281" t="str">
        <f t="shared" si="7"/>
        <v/>
      </c>
    </row>
    <row r="91" spans="2:10">
      <c r="B91" s="276">
        <v>88</v>
      </c>
      <c r="C91" s="277" t="str">
        <f t="shared" si="8"/>
        <v/>
      </c>
      <c r="D91" s="278" t="str">
        <f t="shared" si="9"/>
        <v/>
      </c>
      <c r="E91" s="26"/>
      <c r="F91" s="26"/>
      <c r="G91" s="281" t="str">
        <f t="shared" si="6"/>
        <v/>
      </c>
      <c r="H91" s="282" t="str">
        <f>IF(INDEX(Predictions_2!$A$2:$AWV$3,2,$M$3+(ROW(A88)-1)*$M$4)="","",INDEX(Predictions_2!$A$2:$AWV$3,2,$M$3+(ROW(A88)-1)*$M$4))</f>
        <v/>
      </c>
      <c r="I91" s="283" t="str">
        <f>IF(INDEX(Predictions_2!$A$2:$AWV$3,2,$M$3+(ROW(A88)-1)*$M$4)="","",INDEX(Predictions_2!$A$2:$AWV$3,1,$M$3+(ROW(A88)-1)*$M$4))</f>
        <v/>
      </c>
      <c r="J91" s="281" t="str">
        <f t="shared" si="7"/>
        <v/>
      </c>
    </row>
    <row r="92" spans="2:10">
      <c r="B92" s="276">
        <v>89</v>
      </c>
      <c r="C92" s="277" t="str">
        <f t="shared" si="8"/>
        <v/>
      </c>
      <c r="D92" s="278" t="str">
        <f t="shared" si="9"/>
        <v/>
      </c>
      <c r="E92" s="26"/>
      <c r="F92" s="26"/>
      <c r="G92" s="281" t="str">
        <f t="shared" si="6"/>
        <v/>
      </c>
      <c r="H92" s="282" t="str">
        <f>IF(INDEX(Predictions_2!$A$2:$AWV$3,2,$M$3+(ROW(A89)-1)*$M$4)="","",INDEX(Predictions_2!$A$2:$AWV$3,2,$M$3+(ROW(A89)-1)*$M$4))</f>
        <v/>
      </c>
      <c r="I92" s="283" t="str">
        <f>IF(INDEX(Predictions_2!$A$2:$AWV$3,2,$M$3+(ROW(A89)-1)*$M$4)="","",INDEX(Predictions_2!$A$2:$AWV$3,1,$M$3+(ROW(A89)-1)*$M$4))</f>
        <v/>
      </c>
      <c r="J92" s="281" t="str">
        <f t="shared" si="7"/>
        <v/>
      </c>
    </row>
    <row r="93" spans="2:10">
      <c r="B93" s="276">
        <v>90</v>
      </c>
      <c r="C93" s="277" t="str">
        <f t="shared" si="8"/>
        <v/>
      </c>
      <c r="D93" s="278" t="str">
        <f t="shared" si="9"/>
        <v/>
      </c>
      <c r="E93" s="26"/>
      <c r="F93" s="26"/>
      <c r="G93" s="281" t="str">
        <f t="shared" si="6"/>
        <v/>
      </c>
      <c r="H93" s="282" t="str">
        <f>IF(INDEX(Predictions_2!$A$2:$AWV$3,2,$M$3+(ROW(A90)-1)*$M$4)="","",INDEX(Predictions_2!$A$2:$AWV$3,2,$M$3+(ROW(A90)-1)*$M$4))</f>
        <v/>
      </c>
      <c r="I93" s="283" t="str">
        <f>IF(INDEX(Predictions_2!$A$2:$AWV$3,2,$M$3+(ROW(A90)-1)*$M$4)="","",INDEX(Predictions_2!$A$2:$AWV$3,1,$M$3+(ROW(A90)-1)*$M$4))</f>
        <v/>
      </c>
      <c r="J93" s="281" t="str">
        <f t="shared" si="7"/>
        <v/>
      </c>
    </row>
    <row r="94" spans="2:10">
      <c r="B94" s="276">
        <v>91</v>
      </c>
      <c r="C94" s="277" t="str">
        <f t="shared" si="8"/>
        <v/>
      </c>
      <c r="D94" s="278" t="str">
        <f t="shared" si="9"/>
        <v/>
      </c>
      <c r="E94" s="26"/>
      <c r="F94" s="26"/>
      <c r="G94" s="281" t="str">
        <f t="shared" si="6"/>
        <v/>
      </c>
      <c r="H94" s="282" t="str">
        <f>IF(INDEX(Predictions_2!$A$2:$AWV$3,2,$M$3+(ROW(A91)-1)*$M$4)="","",INDEX(Predictions_2!$A$2:$AWV$3,2,$M$3+(ROW(A91)-1)*$M$4))</f>
        <v/>
      </c>
      <c r="I94" s="283" t="str">
        <f>IF(INDEX(Predictions_2!$A$2:$AWV$3,2,$M$3+(ROW(A91)-1)*$M$4)="","",INDEX(Predictions_2!$A$2:$AWV$3,1,$M$3+(ROW(A91)-1)*$M$4))</f>
        <v/>
      </c>
      <c r="J94" s="281" t="str">
        <f t="shared" si="7"/>
        <v/>
      </c>
    </row>
    <row r="95" spans="2:10">
      <c r="B95" s="276">
        <v>92</v>
      </c>
      <c r="C95" s="277" t="str">
        <f t="shared" si="8"/>
        <v/>
      </c>
      <c r="D95" s="278" t="str">
        <f t="shared" si="9"/>
        <v/>
      </c>
      <c r="E95" s="26"/>
      <c r="F95" s="26"/>
      <c r="G95" s="281" t="str">
        <f t="shared" si="6"/>
        <v/>
      </c>
      <c r="H95" s="282" t="str">
        <f>IF(INDEX(Predictions_2!$A$2:$AWV$3,2,$M$3+(ROW(A92)-1)*$M$4)="","",INDEX(Predictions_2!$A$2:$AWV$3,2,$M$3+(ROW(A92)-1)*$M$4))</f>
        <v/>
      </c>
      <c r="I95" s="283" t="str">
        <f>IF(INDEX(Predictions_2!$A$2:$AWV$3,2,$M$3+(ROW(A92)-1)*$M$4)="","",INDEX(Predictions_2!$A$2:$AWV$3,1,$M$3+(ROW(A92)-1)*$M$4))</f>
        <v/>
      </c>
      <c r="J95" s="281" t="str">
        <f t="shared" si="7"/>
        <v/>
      </c>
    </row>
    <row r="96" spans="2:10">
      <c r="B96" s="276">
        <v>93</v>
      </c>
      <c r="C96" s="277" t="str">
        <f t="shared" si="8"/>
        <v/>
      </c>
      <c r="D96" s="278" t="str">
        <f t="shared" si="9"/>
        <v/>
      </c>
      <c r="E96" s="26"/>
      <c r="F96" s="26"/>
      <c r="G96" s="281" t="str">
        <f t="shared" si="6"/>
        <v/>
      </c>
      <c r="H96" s="282" t="str">
        <f>IF(INDEX(Predictions_2!$A$2:$AWV$3,2,$M$3+(ROW(A93)-1)*$M$4)="","",INDEX(Predictions_2!$A$2:$AWV$3,2,$M$3+(ROW(A93)-1)*$M$4))</f>
        <v/>
      </c>
      <c r="I96" s="283" t="str">
        <f>IF(INDEX(Predictions_2!$A$2:$AWV$3,2,$M$3+(ROW(A93)-1)*$M$4)="","",INDEX(Predictions_2!$A$2:$AWV$3,1,$M$3+(ROW(A93)-1)*$M$4))</f>
        <v/>
      </c>
      <c r="J96" s="281" t="str">
        <f t="shared" si="7"/>
        <v/>
      </c>
    </row>
    <row r="97" spans="2:10">
      <c r="B97" s="276">
        <v>94</v>
      </c>
      <c r="C97" s="277" t="str">
        <f t="shared" si="8"/>
        <v/>
      </c>
      <c r="D97" s="278" t="str">
        <f t="shared" si="9"/>
        <v/>
      </c>
      <c r="E97" s="26"/>
      <c r="F97" s="26"/>
      <c r="G97" s="281" t="str">
        <f t="shared" si="6"/>
        <v/>
      </c>
      <c r="H97" s="282" t="str">
        <f>IF(INDEX(Predictions_2!$A$2:$AWV$3,2,$M$3+(ROW(A94)-1)*$M$4)="","",INDEX(Predictions_2!$A$2:$AWV$3,2,$M$3+(ROW(A94)-1)*$M$4))</f>
        <v/>
      </c>
      <c r="I97" s="283" t="str">
        <f>IF(INDEX(Predictions_2!$A$2:$AWV$3,2,$M$3+(ROW(A94)-1)*$M$4)="","",INDEX(Predictions_2!$A$2:$AWV$3,1,$M$3+(ROW(A94)-1)*$M$4))</f>
        <v/>
      </c>
      <c r="J97" s="281" t="str">
        <f t="shared" si="7"/>
        <v/>
      </c>
    </row>
    <row r="98" spans="2:10">
      <c r="B98" s="276">
        <v>95</v>
      </c>
      <c r="C98" s="277" t="str">
        <f t="shared" si="8"/>
        <v/>
      </c>
      <c r="D98" s="278" t="str">
        <f t="shared" si="9"/>
        <v/>
      </c>
      <c r="E98" s="26"/>
      <c r="F98" s="26"/>
      <c r="G98" s="281" t="str">
        <f t="shared" si="6"/>
        <v/>
      </c>
      <c r="H98" s="282" t="str">
        <f>IF(INDEX(Predictions_2!$A$2:$AWV$3,2,$M$3+(ROW(A95)-1)*$M$4)="","",INDEX(Predictions_2!$A$2:$AWV$3,2,$M$3+(ROW(A95)-1)*$M$4))</f>
        <v/>
      </c>
      <c r="I98" s="283" t="str">
        <f>IF(INDEX(Predictions_2!$A$2:$AWV$3,2,$M$3+(ROW(A95)-1)*$M$4)="","",INDEX(Predictions_2!$A$2:$AWV$3,1,$M$3+(ROW(A95)-1)*$M$4))</f>
        <v/>
      </c>
      <c r="J98" s="281" t="str">
        <f t="shared" si="7"/>
        <v/>
      </c>
    </row>
    <row r="99" spans="2:10">
      <c r="B99" s="276">
        <v>96</v>
      </c>
      <c r="C99" s="277" t="str">
        <f t="shared" si="8"/>
        <v/>
      </c>
      <c r="D99" s="278" t="str">
        <f t="shared" si="9"/>
        <v/>
      </c>
      <c r="E99" s="26"/>
      <c r="F99" s="26"/>
      <c r="G99" s="281" t="str">
        <f t="shared" si="6"/>
        <v/>
      </c>
      <c r="H99" s="282" t="str">
        <f>IF(INDEX(Predictions_2!$A$2:$AWV$3,2,$M$3+(ROW(A96)-1)*$M$4)="","",INDEX(Predictions_2!$A$2:$AWV$3,2,$M$3+(ROW(A96)-1)*$M$4))</f>
        <v/>
      </c>
      <c r="I99" s="283" t="str">
        <f>IF(INDEX(Predictions_2!$A$2:$AWV$3,2,$M$3+(ROW(A96)-1)*$M$4)="","",INDEX(Predictions_2!$A$2:$AWV$3,1,$M$3+(ROW(A96)-1)*$M$4))</f>
        <v/>
      </c>
      <c r="J99" s="281" t="str">
        <f t="shared" si="7"/>
        <v/>
      </c>
    </row>
    <row r="100" spans="2:10">
      <c r="B100" s="276">
        <v>97</v>
      </c>
      <c r="C100" s="277" t="str">
        <f t="shared" si="8"/>
        <v/>
      </c>
      <c r="D100" s="278" t="str">
        <f t="shared" si="9"/>
        <v/>
      </c>
      <c r="E100" s="26"/>
      <c r="F100" s="26"/>
      <c r="G100" s="281" t="str">
        <f t="shared" si="6"/>
        <v/>
      </c>
      <c r="H100" s="282" t="str">
        <f>IF(INDEX(Predictions_2!$A$2:$AWV$3,2,$M$3+(ROW(A97)-1)*$M$4)="","",INDEX(Predictions_2!$A$2:$AWV$3,2,$M$3+(ROW(A97)-1)*$M$4))</f>
        <v/>
      </c>
      <c r="I100" s="283" t="str">
        <f>IF(INDEX(Predictions_2!$A$2:$AWV$3,2,$M$3+(ROW(A97)-1)*$M$4)="","",INDEX(Predictions_2!$A$2:$AWV$3,1,$M$3+(ROW(A97)-1)*$M$4))</f>
        <v/>
      </c>
      <c r="J100" s="281" t="str">
        <f t="shared" ref="J100:J103" si="10">IF(I100="","",RANK(I100,$I$4:$I$103,0)+ROW()*0.001)</f>
        <v/>
      </c>
    </row>
    <row r="101" spans="2:10">
      <c r="B101" s="276">
        <v>98</v>
      </c>
      <c r="C101" s="277" t="str">
        <f t="shared" si="8"/>
        <v/>
      </c>
      <c r="D101" s="278" t="str">
        <f t="shared" si="9"/>
        <v/>
      </c>
      <c r="E101" s="26"/>
      <c r="F101" s="26"/>
      <c r="G101" s="281" t="str">
        <f t="shared" si="6"/>
        <v/>
      </c>
      <c r="H101" s="282" t="str">
        <f>IF(INDEX(Predictions_2!$A$2:$AWV$3,2,$M$3+(ROW(A98)-1)*$M$4)="","",INDEX(Predictions_2!$A$2:$AWV$3,2,$M$3+(ROW(A98)-1)*$M$4))</f>
        <v/>
      </c>
      <c r="I101" s="283" t="str">
        <f>IF(INDEX(Predictions_2!$A$2:$AWV$3,2,$M$3+(ROW(A98)-1)*$M$4)="","",INDEX(Predictions_2!$A$2:$AWV$3,1,$M$3+(ROW(A98)-1)*$M$4))</f>
        <v/>
      </c>
      <c r="J101" s="281" t="str">
        <f t="shared" si="10"/>
        <v/>
      </c>
    </row>
    <row r="102" spans="2:10">
      <c r="B102" s="276">
        <v>99</v>
      </c>
      <c r="C102" s="277" t="str">
        <f t="shared" si="8"/>
        <v/>
      </c>
      <c r="D102" s="278" t="str">
        <f t="shared" si="9"/>
        <v/>
      </c>
      <c r="E102" s="26"/>
      <c r="F102" s="26"/>
      <c r="G102" s="281" t="str">
        <f t="shared" si="6"/>
        <v/>
      </c>
      <c r="H102" s="282" t="str">
        <f>IF(INDEX(Predictions_2!$A$2:$AWV$3,2,$M$3+(ROW(A99)-1)*$M$4)="","",INDEX(Predictions_2!$A$2:$AWV$3,2,$M$3+(ROW(A99)-1)*$M$4))</f>
        <v/>
      </c>
      <c r="I102" s="283" t="str">
        <f>IF(INDEX(Predictions_2!$A$2:$AWV$3,2,$M$3+(ROW(A99)-1)*$M$4)="","",INDEX(Predictions_2!$A$2:$AWV$3,1,$M$3+(ROW(A99)-1)*$M$4))</f>
        <v/>
      </c>
      <c r="J102" s="281" t="str">
        <f t="shared" si="10"/>
        <v/>
      </c>
    </row>
    <row r="103" spans="2:10" ht="15" thickBot="1">
      <c r="B103" s="317">
        <v>100</v>
      </c>
      <c r="C103" s="318" t="str">
        <f>IFERROR(VLOOKUP(B103,$G$4:$H$103,2,0),"")</f>
        <v/>
      </c>
      <c r="D103" s="319" t="str">
        <f>IFERROR(VLOOKUP(B103,$G$4:$I$103,3,0),"")</f>
        <v/>
      </c>
      <c r="E103" s="320"/>
      <c r="F103" s="321"/>
      <c r="G103" s="285" t="str">
        <f t="shared" si="6"/>
        <v/>
      </c>
      <c r="H103" s="286" t="str">
        <f>IF(INDEX(Predictions_2!$A$2:$AWV$3,2,$M$3+(ROW(A100)-1)*$M$4)="","",INDEX(Predictions_2!$A$2:$AWV$3,2,$M$3+(ROW(A100)-1)*$M$4))</f>
        <v/>
      </c>
      <c r="I103" s="284" t="str">
        <f>IF(INDEX(Predictions_2!$A$2:$AWV$3,2,$M$3+(ROW(A100)-1)*$M$4)="","",INDEX(Predictions_2!$A$2:$AWV$3,1,$M$3+(ROW(A100)-1)*$M$4))</f>
        <v/>
      </c>
      <c r="J103" s="285" t="str">
        <f t="shared" si="10"/>
        <v/>
      </c>
    </row>
    <row r="104" spans="2:10" ht="15" thickTop="1"/>
    <row r="105" spans="2:10"/>
    <row r="106"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4.5" zeroHeight="1"/>
  <cols>
    <col min="1" max="12" width="11.453125" customWidth="1"/>
    <col min="13" max="13" width="5.26953125" customWidth="1"/>
    <col min="14" max="14" width="4" customWidth="1"/>
    <col min="15" max="15" width="6.81640625" customWidth="1"/>
    <col min="16" max="16" width="11.453125" customWidth="1"/>
    <col min="17" max="16384" width="11.453125" hidden="1"/>
  </cols>
  <sheetData>
    <row r="1" spans="2:15" ht="28.5">
      <c r="B1" s="887" t="str">
        <f>Language!$E$223</f>
        <v>Instellingen</v>
      </c>
      <c r="C1" s="887"/>
      <c r="D1" s="887"/>
      <c r="E1" s="887"/>
      <c r="F1" s="887"/>
    </row>
    <row r="2" spans="2:15"/>
    <row r="3" spans="2:15" ht="16" thickBot="1">
      <c r="B3" s="894" t="str">
        <f>Language!$E$222</f>
        <v>Factoren</v>
      </c>
      <c r="C3" s="894"/>
      <c r="D3" s="894"/>
      <c r="E3" s="894"/>
      <c r="F3" s="894"/>
      <c r="H3" s="894" t="str">
        <f>Language!$E$223</f>
        <v>Instellingen</v>
      </c>
      <c r="I3" s="894"/>
      <c r="J3" s="894"/>
      <c r="K3" s="894"/>
      <c r="L3" s="894"/>
      <c r="M3" s="894"/>
      <c r="N3" s="894"/>
      <c r="O3" s="894"/>
    </row>
    <row r="4" spans="2:15" ht="24" thickTop="1">
      <c r="B4" s="898" t="str">
        <f>Language!$E$225</f>
        <v>Gewonnen/Gelijkspel/Verloren:</v>
      </c>
      <c r="C4" s="899"/>
      <c r="D4" s="899"/>
      <c r="E4" s="899"/>
      <c r="F4" s="296">
        <v>5</v>
      </c>
      <c r="H4" s="888" t="str">
        <f>Language!$E$236</f>
        <v>Punten voor verschil in doelpunten bij een gelijkspel:</v>
      </c>
      <c r="I4" s="889"/>
      <c r="J4" s="889"/>
      <c r="K4" s="889"/>
      <c r="L4" s="890"/>
      <c r="M4" s="291" t="s">
        <v>1690</v>
      </c>
      <c r="N4" s="289"/>
      <c r="O4" s="290" t="str">
        <f>IF(M4="●",Language!E237,Language!E238)</f>
        <v>ja</v>
      </c>
    </row>
    <row r="5" spans="2:15" ht="18" customHeight="1">
      <c r="B5" s="900" t="str">
        <f>Language!$E$226</f>
        <v>verschil in doelpunten</v>
      </c>
      <c r="C5" s="901"/>
      <c r="D5" s="901"/>
      <c r="E5" s="901"/>
      <c r="F5" s="297">
        <v>5</v>
      </c>
      <c r="H5" s="895"/>
      <c r="I5" s="896"/>
      <c r="J5" s="896"/>
      <c r="K5" s="896"/>
      <c r="L5" s="896"/>
      <c r="M5" s="896"/>
      <c r="N5" s="896"/>
      <c r="O5" s="897"/>
    </row>
    <row r="6" spans="2:15" ht="18" customHeight="1">
      <c r="B6" s="900" t="str">
        <f>Language!$E$228</f>
        <v>exact aantal doelpunten</v>
      </c>
      <c r="C6" s="901"/>
      <c r="D6" s="901"/>
      <c r="E6" s="901"/>
      <c r="F6" s="297">
        <v>10</v>
      </c>
      <c r="H6" s="891" t="str">
        <f>Language!$E$239</f>
        <v>min. aantal goals voor de keuze: 'veel doelpunten' (bij gelijkspel):</v>
      </c>
      <c r="I6" s="892"/>
      <c r="J6" s="892"/>
      <c r="K6" s="892"/>
      <c r="L6" s="893"/>
      <c r="M6" s="292">
        <v>4</v>
      </c>
      <c r="N6" s="294"/>
      <c r="O6" s="287"/>
    </row>
    <row r="7" spans="2:15" ht="18" customHeight="1">
      <c r="B7" s="900" t="str">
        <f>Language!$E$227</f>
        <v>Veel doelpunten - goede voorspelling</v>
      </c>
      <c r="C7" s="901"/>
      <c r="D7" s="901"/>
      <c r="E7" s="901"/>
      <c r="F7" s="297">
        <v>3</v>
      </c>
      <c r="H7" s="891" t="str">
        <f>Language!$E$240</f>
        <v>min. aantal goals voor de keuze: 'groot verschil in doelpunten':</v>
      </c>
      <c r="I7" s="892"/>
      <c r="J7" s="892"/>
      <c r="K7" s="892"/>
      <c r="L7" s="893"/>
      <c r="M7" s="292">
        <v>4</v>
      </c>
      <c r="N7" s="295"/>
      <c r="O7" s="287"/>
    </row>
    <row r="8" spans="2:15" ht="18" customHeight="1">
      <c r="B8" s="910" t="str">
        <f>Language!$E$229</f>
        <v>juiste voorspelling van team dat achtste finales bereikt</v>
      </c>
      <c r="C8" s="911"/>
      <c r="D8" s="911"/>
      <c r="E8" s="911"/>
      <c r="F8" s="298">
        <v>10</v>
      </c>
      <c r="H8" s="891" t="str">
        <f>Language!$E$243</f>
        <v>Hoeveel doelpunten worden minimaal bedoeld bij de keuze: 'veel doelpunten'?</v>
      </c>
      <c r="I8" s="892"/>
      <c r="J8" s="892"/>
      <c r="K8" s="892"/>
      <c r="L8" s="893"/>
      <c r="M8" s="292">
        <v>8</v>
      </c>
      <c r="O8" s="287"/>
    </row>
    <row r="9" spans="2:15" ht="18" customHeight="1" thickBot="1">
      <c r="B9" s="922" t="str">
        <f>Language!$E$235</f>
        <v>Finale/derde plaats winnaar:</v>
      </c>
      <c r="C9" s="923"/>
      <c r="D9" s="923"/>
      <c r="E9" s="923"/>
      <c r="F9" s="299">
        <v>10</v>
      </c>
      <c r="H9" s="902"/>
      <c r="I9" s="903"/>
      <c r="J9" s="903"/>
      <c r="K9" s="903"/>
      <c r="L9" s="903"/>
      <c r="M9" s="301"/>
      <c r="N9" s="301"/>
      <c r="O9" s="288"/>
    </row>
    <row r="10" spans="2:15" ht="15" thickTop="1"/>
    <row r="11" spans="2:15"/>
    <row r="12" spans="2:15" ht="16" thickBot="1">
      <c r="H12" s="912" t="str">
        <f>Language!$E$221</f>
        <v>Opmerking:</v>
      </c>
      <c r="I12" s="912"/>
      <c r="J12" s="912"/>
      <c r="K12" s="912"/>
      <c r="L12" s="912"/>
      <c r="M12" s="912"/>
      <c r="N12" s="912"/>
      <c r="O12" s="912"/>
    </row>
    <row r="13" spans="2:15" ht="21.75" customHeight="1" thickTop="1">
      <c r="H13" s="916" t="s">
        <v>26</v>
      </c>
      <c r="I13" s="917"/>
      <c r="J13" s="917"/>
      <c r="K13" s="917"/>
      <c r="L13" s="917"/>
      <c r="M13" s="917"/>
      <c r="N13" s="917"/>
      <c r="O13" s="918"/>
    </row>
    <row r="14" spans="2:15" ht="15" customHeight="1">
      <c r="H14" s="904" t="str">
        <f>Language!$E$242</f>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I14" s="905"/>
      <c r="J14" s="905"/>
      <c r="K14" s="905"/>
      <c r="L14" s="905"/>
      <c r="M14" s="905"/>
      <c r="N14" s="905"/>
      <c r="O14" s="906"/>
    </row>
    <row r="15" spans="2:15" ht="15" customHeight="1">
      <c r="H15" s="904"/>
      <c r="I15" s="905"/>
      <c r="J15" s="905"/>
      <c r="K15" s="905"/>
      <c r="L15" s="905"/>
      <c r="M15" s="905"/>
      <c r="N15" s="905"/>
      <c r="O15" s="906"/>
    </row>
    <row r="16" spans="2:15" ht="15" customHeight="1">
      <c r="H16" s="904"/>
      <c r="I16" s="905"/>
      <c r="J16" s="905"/>
      <c r="K16" s="905"/>
      <c r="L16" s="905"/>
      <c r="M16" s="905"/>
      <c r="N16" s="905"/>
      <c r="O16" s="906"/>
    </row>
    <row r="17" spans="8:15" ht="15" customHeight="1">
      <c r="H17" s="904"/>
      <c r="I17" s="905"/>
      <c r="J17" s="905"/>
      <c r="K17" s="905"/>
      <c r="L17" s="905"/>
      <c r="M17" s="905"/>
      <c r="N17" s="905"/>
      <c r="O17" s="906"/>
    </row>
    <row r="18" spans="8:15" ht="15" customHeight="1">
      <c r="H18" s="913"/>
      <c r="I18" s="914"/>
      <c r="J18" s="914"/>
      <c r="K18" s="914"/>
      <c r="L18" s="914"/>
      <c r="M18" s="914"/>
      <c r="N18" s="914"/>
      <c r="O18" s="915"/>
    </row>
    <row r="19" spans="8:15" ht="30" customHeight="1">
      <c r="H19" s="919" t="s">
        <v>27</v>
      </c>
      <c r="I19" s="920"/>
      <c r="J19" s="920"/>
      <c r="K19" s="920"/>
      <c r="L19" s="920"/>
      <c r="M19" s="920"/>
      <c r="N19" s="920"/>
      <c r="O19" s="921"/>
    </row>
    <row r="20" spans="8:15" ht="15" customHeight="1">
      <c r="H20" s="904" t="str">
        <f>Language!$E$241</f>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I20" s="905"/>
      <c r="J20" s="905"/>
      <c r="K20" s="905"/>
      <c r="L20" s="905"/>
      <c r="M20" s="905"/>
      <c r="N20" s="905"/>
      <c r="O20" s="906"/>
    </row>
    <row r="21" spans="8:15">
      <c r="H21" s="904"/>
      <c r="I21" s="905"/>
      <c r="J21" s="905"/>
      <c r="K21" s="905"/>
      <c r="L21" s="905"/>
      <c r="M21" s="905"/>
      <c r="N21" s="905"/>
      <c r="O21" s="906"/>
    </row>
    <row r="22" spans="8:15">
      <c r="H22" s="904"/>
      <c r="I22" s="905"/>
      <c r="J22" s="905"/>
      <c r="K22" s="905"/>
      <c r="L22" s="905"/>
      <c r="M22" s="905"/>
      <c r="N22" s="905"/>
      <c r="O22" s="906"/>
    </row>
    <row r="23" spans="8:15">
      <c r="H23" s="904"/>
      <c r="I23" s="905"/>
      <c r="J23" s="905"/>
      <c r="K23" s="905"/>
      <c r="L23" s="905"/>
      <c r="M23" s="905"/>
      <c r="N23" s="905"/>
      <c r="O23" s="906"/>
    </row>
    <row r="24" spans="8:15">
      <c r="H24" s="904"/>
      <c r="I24" s="905"/>
      <c r="J24" s="905"/>
      <c r="K24" s="905"/>
      <c r="L24" s="905"/>
      <c r="M24" s="905"/>
      <c r="N24" s="905"/>
      <c r="O24" s="906"/>
    </row>
    <row r="25" spans="8:15">
      <c r="H25" s="904"/>
      <c r="I25" s="905"/>
      <c r="J25" s="905"/>
      <c r="K25" s="905"/>
      <c r="L25" s="905"/>
      <c r="M25" s="905"/>
      <c r="N25" s="905"/>
      <c r="O25" s="906"/>
    </row>
    <row r="26" spans="8:15">
      <c r="H26" s="904"/>
      <c r="I26" s="905"/>
      <c r="J26" s="905"/>
      <c r="K26" s="905"/>
      <c r="L26" s="905"/>
      <c r="M26" s="905"/>
      <c r="N26" s="905"/>
      <c r="O26" s="906"/>
    </row>
    <row r="27" spans="8:15">
      <c r="H27" s="904"/>
      <c r="I27" s="905"/>
      <c r="J27" s="905"/>
      <c r="K27" s="905"/>
      <c r="L27" s="905"/>
      <c r="M27" s="905"/>
      <c r="N27" s="905"/>
      <c r="O27" s="906"/>
    </row>
    <row r="28" spans="8:15" ht="15" thickBot="1">
      <c r="H28" s="907"/>
      <c r="I28" s="908"/>
      <c r="J28" s="908"/>
      <c r="K28" s="908"/>
      <c r="L28" s="908"/>
      <c r="M28" s="908"/>
      <c r="N28" s="908"/>
      <c r="O28" s="909"/>
    </row>
    <row r="29" spans="8:15" ht="15" thickTop="1"/>
    <row r="30" spans="8:15"/>
    <row r="31" spans="8:1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29</vt:i4>
      </vt:variant>
      <vt:variant>
        <vt:lpstr>Benoemde bereiken</vt:lpstr>
      </vt:variant>
      <vt:variant>
        <vt:i4>1</vt:i4>
      </vt:variant>
    </vt:vector>
  </HeadingPairs>
  <TitlesOfParts>
    <vt:vector size="30" baseType="lpstr">
      <vt:lpstr>World Cup</vt:lpstr>
      <vt:lpstr>DailySchedule</vt:lpstr>
      <vt:lpstr>FairPlay</vt:lpstr>
      <vt:lpstr>HeadToHeadComp</vt:lpstr>
      <vt:lpstr>Predictions</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Hans Schols</cp:lastModifiedBy>
  <cp:lastPrinted>2024-08-12T08:42:52Z</cp:lastPrinted>
  <dcterms:created xsi:type="dcterms:W3CDTF">2018-06-13T10:24:55Z</dcterms:created>
  <dcterms:modified xsi:type="dcterms:W3CDTF">2026-06-03T11:22:26Z</dcterms:modified>
</cp:coreProperties>
</file>